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padata\ORACS mgrs (R)\Training Grants\2017 Training Grant Presentation\"/>
    </mc:Choice>
  </mc:AlternateContent>
  <bookViews>
    <workbookView xWindow="360" yWindow="15" windowWidth="11295" windowHeight="4965" firstSheet="2" activeTab="2"/>
  </bookViews>
  <sheets>
    <sheet name="Components" sheetId="2" state="hidden" r:id="rId1"/>
    <sheet name="Sheet3" sheetId="3" state="hidden" r:id="rId2"/>
    <sheet name="Components " sheetId="4" r:id="rId3"/>
  </sheets>
  <calcPr calcId="162913"/>
</workbook>
</file>

<file path=xl/calcChain.xml><?xml version="1.0" encoding="utf-8"?>
<calcChain xmlns="http://schemas.openxmlformats.org/spreadsheetml/2006/main">
  <c r="B15" i="4" l="1"/>
  <c r="K15" i="4" l="1"/>
  <c r="K31" i="4"/>
  <c r="D15" i="4" l="1"/>
  <c r="J15" i="4"/>
  <c r="L31" i="4"/>
  <c r="L15" i="4"/>
  <c r="M31" i="4"/>
  <c r="M15" i="4" l="1"/>
  <c r="I31" i="4"/>
  <c r="I15" i="4" s="1"/>
  <c r="F31" i="4"/>
  <c r="C15" i="4"/>
  <c r="AQ36" i="2"/>
  <c r="AQ17" i="2" s="1"/>
  <c r="AQ19" i="2" s="1"/>
  <c r="AQ15" i="2"/>
  <c r="AJ36" i="2"/>
  <c r="AJ8" i="2"/>
  <c r="AJ19" i="2" s="1"/>
  <c r="AJ17" i="2"/>
  <c r="AK36" i="2"/>
  <c r="AK8" i="2"/>
  <c r="AK19" i="2" s="1"/>
  <c r="AK17" i="2"/>
  <c r="AB36" i="2"/>
  <c r="AB17" i="2" s="1"/>
  <c r="AB19" i="2" s="1"/>
  <c r="S15" i="2"/>
  <c r="S8" i="2"/>
  <c r="J13" i="2"/>
  <c r="J15" i="2"/>
  <c r="J8" i="2"/>
  <c r="J19" i="2" s="1"/>
  <c r="S36" i="2"/>
  <c r="S17" i="2" s="1"/>
  <c r="J36" i="2"/>
  <c r="J17" i="2" s="1"/>
  <c r="AP36" i="2"/>
  <c r="AP17" i="2"/>
  <c r="AP15" i="2"/>
  <c r="R15" i="2"/>
  <c r="R8" i="2"/>
  <c r="I15" i="2"/>
  <c r="I19" i="2" s="1"/>
  <c r="I13" i="2"/>
  <c r="I8" i="2"/>
  <c r="AA36" i="2"/>
  <c r="AA17" i="2" s="1"/>
  <c r="AA19" i="2" s="1"/>
  <c r="R36" i="2"/>
  <c r="R17" i="2" s="1"/>
  <c r="I36" i="2"/>
  <c r="I17" i="2"/>
  <c r="AO15" i="2"/>
  <c r="AO19" i="2" s="1"/>
  <c r="AI36" i="2"/>
  <c r="AI17" i="2"/>
  <c r="Z36" i="2"/>
  <c r="Z17" i="2" s="1"/>
  <c r="Z19" i="2" s="1"/>
  <c r="Q36" i="2"/>
  <c r="Q17" i="2" s="1"/>
  <c r="H36" i="2"/>
  <c r="H17" i="2"/>
  <c r="H13" i="2"/>
  <c r="Q15" i="2"/>
  <c r="H15" i="2"/>
  <c r="AI8" i="2"/>
  <c r="Q8" i="2"/>
  <c r="H8" i="2"/>
  <c r="H19" i="2" s="1"/>
  <c r="G15" i="2"/>
  <c r="AM36" i="2"/>
  <c r="AM17" i="2" s="1"/>
  <c r="AM15" i="2"/>
  <c r="AM19" i="2" s="1"/>
  <c r="AN36" i="2"/>
  <c r="AN17" i="2" s="1"/>
  <c r="AN15" i="2"/>
  <c r="AH8" i="2"/>
  <c r="P8" i="2"/>
  <c r="G13" i="2"/>
  <c r="G8" i="2"/>
  <c r="AH36" i="2"/>
  <c r="AH17" i="2"/>
  <c r="AH19" i="2"/>
  <c r="Y36" i="2"/>
  <c r="Y17" i="2" s="1"/>
  <c r="Y19" i="2" s="1"/>
  <c r="P36" i="2"/>
  <c r="P17" i="2" s="1"/>
  <c r="P15" i="2"/>
  <c r="P19" i="2" s="1"/>
  <c r="G36" i="2"/>
  <c r="G17" i="2" s="1"/>
  <c r="G19" i="2" s="1"/>
  <c r="F36" i="2"/>
  <c r="F17" i="2"/>
  <c r="AG36" i="2"/>
  <c r="AG17" i="2" s="1"/>
  <c r="AG8" i="2"/>
  <c r="X36" i="2"/>
  <c r="X17" i="2" s="1"/>
  <c r="X19" i="2" s="1"/>
  <c r="O36" i="2"/>
  <c r="O17" i="2"/>
  <c r="O8" i="2"/>
  <c r="O15" i="2"/>
  <c r="F8" i="2"/>
  <c r="F13" i="2"/>
  <c r="F15" i="2"/>
  <c r="AF8" i="2"/>
  <c r="AF36" i="2"/>
  <c r="AF15" i="2"/>
  <c r="AF17" i="2"/>
  <c r="W36" i="2"/>
  <c r="W17" i="2" s="1"/>
  <c r="W19" i="2" s="1"/>
  <c r="N36" i="2"/>
  <c r="N17" i="2" s="1"/>
  <c r="N8" i="2"/>
  <c r="N15" i="2"/>
  <c r="N19" i="2" s="1"/>
  <c r="E13" i="2"/>
  <c r="E36" i="2"/>
  <c r="E17" i="2"/>
  <c r="E19" i="2"/>
  <c r="E8" i="2"/>
  <c r="E15" i="2"/>
  <c r="B36" i="2"/>
  <c r="B17" i="2"/>
  <c r="K36" i="2"/>
  <c r="K17" i="2" s="1"/>
  <c r="T36" i="2"/>
  <c r="T17" i="2"/>
  <c r="T19" i="2" s="1"/>
  <c r="AC36" i="2"/>
  <c r="AC17" i="2" s="1"/>
  <c r="AC8" i="2"/>
  <c r="K8" i="2"/>
  <c r="K15" i="2"/>
  <c r="B8" i="2"/>
  <c r="B13" i="2"/>
  <c r="B15" i="2"/>
  <c r="AE36" i="2"/>
  <c r="AE17" i="2" s="1"/>
  <c r="AD36" i="2"/>
  <c r="AD17" i="2"/>
  <c r="AD19" i="2"/>
  <c r="V36" i="2"/>
  <c r="V17" i="2" s="1"/>
  <c r="V19" i="2" s="1"/>
  <c r="U36" i="2"/>
  <c r="U17" i="2" s="1"/>
  <c r="U19" i="2" s="1"/>
  <c r="M36" i="2"/>
  <c r="M17" i="2"/>
  <c r="L36" i="2"/>
  <c r="L17" i="2" s="1"/>
  <c r="L19" i="2" s="1"/>
  <c r="D36" i="2"/>
  <c r="D17" i="2" s="1"/>
  <c r="C36" i="2"/>
  <c r="C17" i="2" s="1"/>
  <c r="C19" i="2" s="1"/>
  <c r="M15" i="2"/>
  <c r="D15" i="2"/>
  <c r="D13" i="2"/>
  <c r="AE8" i="2"/>
  <c r="M8" i="2"/>
  <c r="D8" i="2"/>
  <c r="AE19" i="2" l="1"/>
  <c r="S19" i="2"/>
  <c r="K19" i="2"/>
  <c r="AG19" i="2"/>
  <c r="Q19" i="2"/>
  <c r="R19" i="2"/>
  <c r="AC19" i="2"/>
  <c r="F19" i="2"/>
  <c r="AI19" i="2"/>
  <c r="M19" i="2"/>
  <c r="B19" i="2"/>
  <c r="AF19" i="2"/>
  <c r="O19" i="2"/>
  <c r="AP19" i="2"/>
  <c r="D19" i="2"/>
  <c r="AN19" i="2"/>
</calcChain>
</file>

<file path=xl/sharedStrings.xml><?xml version="1.0" encoding="utf-8"?>
<sst xmlns="http://schemas.openxmlformats.org/spreadsheetml/2006/main" count="171" uniqueCount="55">
  <si>
    <t>Rate 1</t>
  </si>
  <si>
    <t>Rate 2</t>
  </si>
  <si>
    <t>Rate 3</t>
  </si>
  <si>
    <t>FICA</t>
  </si>
  <si>
    <t>Medical</t>
  </si>
  <si>
    <t>Unemployment</t>
  </si>
  <si>
    <t>Disability</t>
  </si>
  <si>
    <t>Life Insurance</t>
  </si>
  <si>
    <t>Retirement</t>
  </si>
  <si>
    <t>Workers' Comp</t>
  </si>
  <si>
    <t>Tuition Benefit</t>
  </si>
  <si>
    <t>Other</t>
  </si>
  <si>
    <t>Extended Sick Pay</t>
  </si>
  <si>
    <t>Total</t>
  </si>
  <si>
    <t>Rate 4</t>
  </si>
  <si>
    <t>Other categories include</t>
  </si>
  <si>
    <t>Staff Benefit Admin.</t>
  </si>
  <si>
    <t>Awards</t>
  </si>
  <si>
    <t>Separation/Vacation Pay</t>
  </si>
  <si>
    <t>Staff Benefits-ACS</t>
  </si>
  <si>
    <t>Family Care Program</t>
  </si>
  <si>
    <t>Leave of Absence</t>
  </si>
  <si>
    <t>Occupational Health</t>
  </si>
  <si>
    <t>Environ. Health &amp; Safety</t>
  </si>
  <si>
    <t>Employee Assistance Prog.</t>
  </si>
  <si>
    <t>Other Benefit Expense</t>
  </si>
  <si>
    <t>ADA</t>
  </si>
  <si>
    <t>Flexible Spending</t>
  </si>
  <si>
    <t>Total Other</t>
  </si>
  <si>
    <t>FY03</t>
  </si>
  <si>
    <t>FY04</t>
  </si>
  <si>
    <t>Fringe Benefit Components</t>
  </si>
  <si>
    <t>Faculty and</t>
  </si>
  <si>
    <t>Senior Admin.</t>
  </si>
  <si>
    <t>PAS &amp; clerical</t>
  </si>
  <si>
    <t>staff</t>
  </si>
  <si>
    <t>Visiting faculty &amp;</t>
  </si>
  <si>
    <t>all TAR</t>
  </si>
  <si>
    <t>Interns, Residents</t>
  </si>
  <si>
    <t>and Fellows</t>
  </si>
  <si>
    <t>FY02</t>
  </si>
  <si>
    <t>Travel Insurance</t>
  </si>
  <si>
    <t>FY05</t>
  </si>
  <si>
    <t>Prior Year Variance*</t>
  </si>
  <si>
    <t>* - favorable</t>
  </si>
  <si>
    <t>FY06</t>
  </si>
  <si>
    <t>FY07</t>
  </si>
  <si>
    <t>Rate 6</t>
  </si>
  <si>
    <t>NUHHCE Union Benefits</t>
  </si>
  <si>
    <t>FY08</t>
  </si>
  <si>
    <t>FY09</t>
  </si>
  <si>
    <t>FY10</t>
  </si>
  <si>
    <t>FY17</t>
  </si>
  <si>
    <t>FY18</t>
  </si>
  <si>
    <t>FY19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</si>
</sst>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i/>
      <sz val="8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Fill="1"/>
    <xf numFmtId="0" fontId="3" fillId="0" borderId="0" xfId="0" applyFont="1" applyFill="1"/>
    <xf numFmtId="2" fontId="3" fillId="0" borderId="0" xfId="0" applyNumberFormat="1" applyFont="1" applyFill="1"/>
    <xf numFmtId="164" fontId="2" fillId="0" borderId="0" xfId="0" applyNumberFormat="1" applyFont="1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6" fillId="2" borderId="0" xfId="0" applyFont="1" applyFill="1"/>
    <xf numFmtId="0" fontId="7" fillId="0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6" fillId="0" borderId="0" xfId="0" applyFont="1" applyFill="1"/>
    <xf numFmtId="0" fontId="8" fillId="0" borderId="0" xfId="0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43" fontId="3" fillId="0" borderId="0" xfId="1" applyFont="1" applyFill="1" applyAlignment="1"/>
    <xf numFmtId="0" fontId="2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5" fillId="0" borderId="1" xfId="0" applyFont="1" applyFill="1" applyBorder="1"/>
    <xf numFmtId="0" fontId="3" fillId="0" borderId="3" xfId="0" applyFont="1" applyFill="1" applyBorder="1"/>
    <xf numFmtId="164" fontId="7" fillId="0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43" fontId="7" fillId="0" borderId="0" xfId="1" applyFont="1" applyFill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164" fontId="8" fillId="3" borderId="2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64" fontId="8" fillId="0" borderId="2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164" fontId="8" fillId="0" borderId="9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4" fontId="7" fillId="3" borderId="9" xfId="0" applyNumberFormat="1" applyFont="1" applyFill="1" applyBorder="1" applyAlignment="1">
      <alignment horizontal="center"/>
    </xf>
    <xf numFmtId="164" fontId="7" fillId="0" borderId="8" xfId="0" applyNumberFormat="1" applyFont="1" applyFill="1" applyBorder="1" applyAlignment="1">
      <alignment horizontal="center"/>
    </xf>
    <xf numFmtId="0" fontId="2" fillId="0" borderId="5" xfId="0" applyFont="1" applyFill="1" applyBorder="1"/>
    <xf numFmtId="164" fontId="6" fillId="0" borderId="12" xfId="0" applyNumberFormat="1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64" fontId="3" fillId="0" borderId="0" xfId="0" applyNumberFormat="1" applyFont="1" applyFill="1"/>
    <xf numFmtId="10" fontId="3" fillId="0" borderId="0" xfId="0" applyNumberFormat="1" applyFont="1" applyFill="1"/>
    <xf numFmtId="0" fontId="6" fillId="0" borderId="8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43" fontId="6" fillId="3" borderId="11" xfId="0" applyNumberFormat="1" applyFont="1" applyFill="1" applyBorder="1" applyAlignment="1">
      <alignment horizontal="center"/>
    </xf>
    <xf numFmtId="43" fontId="6" fillId="3" borderId="4" xfId="0" applyNumberFormat="1" applyFont="1" applyFill="1" applyBorder="1" applyAlignment="1">
      <alignment horizontal="center"/>
    </xf>
    <xf numFmtId="43" fontId="7" fillId="3" borderId="2" xfId="0" applyNumberFormat="1" applyFont="1" applyFill="1" applyBorder="1" applyAlignment="1">
      <alignment horizontal="center"/>
    </xf>
    <xf numFmtId="43" fontId="7" fillId="3" borderId="9" xfId="0" applyNumberFormat="1" applyFont="1" applyFill="1" applyBorder="1" applyAlignment="1">
      <alignment horizontal="center"/>
    </xf>
    <xf numFmtId="43" fontId="6" fillId="3" borderId="2" xfId="0" applyNumberFormat="1" applyFont="1" applyFill="1" applyBorder="1" applyAlignment="1">
      <alignment horizontal="center"/>
    </xf>
    <xf numFmtId="43" fontId="6" fillId="3" borderId="7" xfId="0" applyNumberFormat="1" applyFont="1" applyFill="1" applyBorder="1" applyAlignment="1">
      <alignment horizontal="center"/>
    </xf>
    <xf numFmtId="43" fontId="8" fillId="3" borderId="2" xfId="0" applyNumberFormat="1" applyFont="1" applyFill="1" applyBorder="1" applyAlignment="1">
      <alignment horizontal="center"/>
    </xf>
    <xf numFmtId="43" fontId="7" fillId="3" borderId="4" xfId="0" applyNumberFormat="1" applyFont="1" applyFill="1" applyBorder="1" applyAlignment="1">
      <alignment horizontal="center"/>
    </xf>
    <xf numFmtId="43" fontId="3" fillId="0" borderId="0" xfId="0" applyNumberFormat="1" applyFont="1" applyFill="1" applyAlignment="1">
      <alignment horizontal="center"/>
    </xf>
    <xf numFmtId="43" fontId="3" fillId="0" borderId="0" xfId="0" applyNumberFormat="1" applyFont="1" applyFill="1"/>
    <xf numFmtId="43" fontId="7" fillId="3" borderId="8" xfId="0" applyNumberFormat="1" applyFont="1" applyFill="1" applyBorder="1" applyAlignment="1">
      <alignment horizontal="center"/>
    </xf>
    <xf numFmtId="43" fontId="6" fillId="3" borderId="9" xfId="0" applyNumberFormat="1" applyFont="1" applyFill="1" applyBorder="1" applyAlignment="1">
      <alignment horizontal="center"/>
    </xf>
    <xf numFmtId="43" fontId="6" fillId="3" borderId="12" xfId="0" applyNumberFormat="1" applyFont="1" applyFill="1" applyBorder="1" applyAlignment="1">
      <alignment horizontal="center"/>
    </xf>
    <xf numFmtId="43" fontId="7" fillId="3" borderId="1" xfId="0" applyNumberFormat="1" applyFont="1" applyFill="1" applyBorder="1" applyAlignment="1">
      <alignment horizontal="center"/>
    </xf>
    <xf numFmtId="43" fontId="8" fillId="3" borderId="9" xfId="0" applyNumberFormat="1" applyFont="1" applyFill="1" applyBorder="1" applyAlignment="1">
      <alignment horizontal="center"/>
    </xf>
    <xf numFmtId="43" fontId="7" fillId="3" borderId="10" xfId="0" applyNumberFormat="1" applyFont="1" applyFill="1" applyBorder="1" applyAlignment="1">
      <alignment horizontal="center"/>
    </xf>
    <xf numFmtId="43" fontId="7" fillId="0" borderId="0" xfId="0" applyNumberFormat="1" applyFont="1" applyFill="1" applyAlignment="1">
      <alignment horizontal="center"/>
    </xf>
    <xf numFmtId="43" fontId="7" fillId="0" borderId="0" xfId="1" applyNumberFormat="1" applyFont="1" applyFill="1" applyAlignment="1">
      <alignment horizontal="center"/>
    </xf>
    <xf numFmtId="43" fontId="7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0"/>
  <sheetViews>
    <sheetView workbookViewId="0">
      <pane xSplit="1" ySplit="6" topLeftCell="G14" activePane="bottomRight" state="frozen"/>
      <selection pane="topRight" activeCell="B1" sqref="B1"/>
      <selection pane="bottomLeft" activeCell="A7" sqref="A7"/>
      <selection pane="bottomRight" activeCell="K5" sqref="K5"/>
    </sheetView>
  </sheetViews>
  <sheetFormatPr defaultColWidth="9.140625" defaultRowHeight="11.25" outlineLevelCol="1" x14ac:dyDescent="0.2"/>
  <cols>
    <col min="1" max="1" width="21.85546875" style="2" customWidth="1"/>
    <col min="2" max="2" width="10.42578125" style="2" hidden="1" customWidth="1" outlineLevel="1"/>
    <col min="3" max="3" width="9.140625" style="2" hidden="1" customWidth="1" outlineLevel="1"/>
    <col min="4" max="6" width="9.28515625" style="2" hidden="1" customWidth="1" outlineLevel="1"/>
    <col min="7" max="7" width="9.28515625" style="2" customWidth="1" collapsed="1"/>
    <col min="8" max="10" width="9.28515625" style="2" customWidth="1"/>
    <col min="11" max="11" width="9.28515625" style="2" customWidth="1" outlineLevel="1"/>
    <col min="12" max="15" width="9.140625" style="2" customWidth="1" outlineLevel="1"/>
    <col min="16" max="17" width="9.140625" style="2"/>
    <col min="18" max="19" width="9.140625" style="25"/>
    <col min="20" max="24" width="9.140625" style="2" hidden="1" customWidth="1" outlineLevel="1"/>
    <col min="25" max="25" width="9.140625" style="2" collapsed="1"/>
    <col min="26" max="28" width="9.140625" style="2"/>
    <col min="29" max="33" width="9.140625" style="2" hidden="1" customWidth="1" outlineLevel="1"/>
    <col min="34" max="34" width="9.140625" style="2" collapsed="1"/>
    <col min="35" max="37" width="9.140625" style="2"/>
    <col min="38" max="38" width="2.28515625" style="2" customWidth="1"/>
    <col min="39" max="39" width="0" style="2" hidden="1" customWidth="1" outlineLevel="1"/>
    <col min="40" max="40" width="0" style="2" hidden="1" customWidth="1" collapsed="1"/>
    <col min="41" max="43" width="0" style="7" hidden="1" customWidth="1"/>
    <col min="44" max="16384" width="9.140625" style="2"/>
  </cols>
  <sheetData>
    <row r="1" spans="1:43" x14ac:dyDescent="0.2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2"/>
      <c r="S1" s="24"/>
      <c r="T1" s="1"/>
      <c r="U1" s="1"/>
      <c r="V1" s="1"/>
      <c r="W1" s="1"/>
      <c r="X1" s="1"/>
      <c r="Y1" s="1"/>
      <c r="Z1" s="1"/>
      <c r="AA1" s="32"/>
      <c r="AB1" s="24"/>
      <c r="AC1" s="1"/>
      <c r="AD1" s="1"/>
      <c r="AJ1" s="25"/>
      <c r="AK1" s="26"/>
    </row>
    <row r="2" spans="1:43" x14ac:dyDescent="0.2">
      <c r="A2" s="1"/>
      <c r="B2" s="1" t="s">
        <v>40</v>
      </c>
      <c r="C2" s="8" t="s">
        <v>29</v>
      </c>
      <c r="D2" s="8" t="s">
        <v>30</v>
      </c>
      <c r="E2" s="8" t="s">
        <v>42</v>
      </c>
      <c r="F2" s="8" t="s">
        <v>45</v>
      </c>
      <c r="G2" s="8" t="s">
        <v>46</v>
      </c>
      <c r="H2" s="8" t="s">
        <v>49</v>
      </c>
      <c r="I2" s="28" t="s">
        <v>50</v>
      </c>
      <c r="J2" s="28" t="s">
        <v>51</v>
      </c>
      <c r="K2" s="12" t="s">
        <v>40</v>
      </c>
      <c r="L2" s="8" t="s">
        <v>29</v>
      </c>
      <c r="M2" s="8" t="s">
        <v>30</v>
      </c>
      <c r="N2" s="8" t="s">
        <v>42</v>
      </c>
      <c r="O2" s="8" t="s">
        <v>45</v>
      </c>
      <c r="P2" s="8" t="s">
        <v>46</v>
      </c>
      <c r="Q2" s="8" t="s">
        <v>49</v>
      </c>
      <c r="R2" s="28" t="s">
        <v>50</v>
      </c>
      <c r="S2" s="19" t="s">
        <v>50</v>
      </c>
      <c r="T2" s="12" t="s">
        <v>40</v>
      </c>
      <c r="U2" s="8" t="s">
        <v>29</v>
      </c>
      <c r="V2" s="8" t="s">
        <v>30</v>
      </c>
      <c r="W2" s="8" t="s">
        <v>42</v>
      </c>
      <c r="X2" s="8" t="s">
        <v>45</v>
      </c>
      <c r="Y2" s="8" t="s">
        <v>46</v>
      </c>
      <c r="Z2" s="8" t="s">
        <v>49</v>
      </c>
      <c r="AA2" s="28" t="s">
        <v>50</v>
      </c>
      <c r="AB2" s="19" t="s">
        <v>50</v>
      </c>
      <c r="AC2" s="12" t="s">
        <v>40</v>
      </c>
      <c r="AD2" s="8" t="s">
        <v>29</v>
      </c>
      <c r="AE2" s="8" t="s">
        <v>30</v>
      </c>
      <c r="AF2" s="8" t="s">
        <v>42</v>
      </c>
      <c r="AG2" s="8" t="s">
        <v>45</v>
      </c>
      <c r="AH2" s="8" t="s">
        <v>46</v>
      </c>
      <c r="AI2" s="8" t="s">
        <v>49</v>
      </c>
      <c r="AJ2" s="28" t="s">
        <v>50</v>
      </c>
      <c r="AK2" s="19" t="s">
        <v>50</v>
      </c>
      <c r="AL2" s="7"/>
      <c r="AM2" s="7" t="s">
        <v>45</v>
      </c>
      <c r="AN2" s="7" t="s">
        <v>46</v>
      </c>
      <c r="AO2" s="7" t="s">
        <v>49</v>
      </c>
      <c r="AP2" s="7" t="s">
        <v>50</v>
      </c>
      <c r="AQ2" s="7" t="s">
        <v>51</v>
      </c>
    </row>
    <row r="3" spans="1:43" x14ac:dyDescent="0.2">
      <c r="A3" s="1"/>
      <c r="B3" s="1" t="s">
        <v>0</v>
      </c>
      <c r="C3" s="8" t="s">
        <v>0</v>
      </c>
      <c r="D3" s="8" t="s">
        <v>0</v>
      </c>
      <c r="E3" s="8" t="s">
        <v>0</v>
      </c>
      <c r="F3" s="8" t="s">
        <v>0</v>
      </c>
      <c r="G3" s="8" t="s">
        <v>0</v>
      </c>
      <c r="H3" s="8" t="s">
        <v>0</v>
      </c>
      <c r="I3" s="28" t="s">
        <v>0</v>
      </c>
      <c r="J3" s="28" t="s">
        <v>0</v>
      </c>
      <c r="K3" s="12" t="s">
        <v>1</v>
      </c>
      <c r="L3" s="8" t="s">
        <v>1</v>
      </c>
      <c r="M3" s="8" t="s">
        <v>1</v>
      </c>
      <c r="N3" s="8" t="s">
        <v>1</v>
      </c>
      <c r="O3" s="8" t="s">
        <v>1</v>
      </c>
      <c r="P3" s="8" t="s">
        <v>1</v>
      </c>
      <c r="Q3" s="8" t="s">
        <v>1</v>
      </c>
      <c r="R3" s="28" t="s">
        <v>1</v>
      </c>
      <c r="S3" s="19" t="s">
        <v>1</v>
      </c>
      <c r="T3" s="12" t="s">
        <v>2</v>
      </c>
      <c r="U3" s="8" t="s">
        <v>2</v>
      </c>
      <c r="V3" s="8" t="s">
        <v>2</v>
      </c>
      <c r="W3" s="8" t="s">
        <v>2</v>
      </c>
      <c r="X3" s="8" t="s">
        <v>2</v>
      </c>
      <c r="Y3" s="8" t="s">
        <v>2</v>
      </c>
      <c r="Z3" s="8" t="s">
        <v>2</v>
      </c>
      <c r="AA3" s="28" t="s">
        <v>2</v>
      </c>
      <c r="AB3" s="19" t="s">
        <v>2</v>
      </c>
      <c r="AC3" s="12" t="s">
        <v>14</v>
      </c>
      <c r="AD3" s="8" t="s">
        <v>14</v>
      </c>
      <c r="AE3" s="8" t="s">
        <v>14</v>
      </c>
      <c r="AF3" s="8" t="s">
        <v>14</v>
      </c>
      <c r="AG3" s="8" t="s">
        <v>14</v>
      </c>
      <c r="AH3" s="8" t="s">
        <v>14</v>
      </c>
      <c r="AI3" s="8" t="s">
        <v>14</v>
      </c>
      <c r="AJ3" s="28" t="s">
        <v>14</v>
      </c>
      <c r="AK3" s="19" t="s">
        <v>14</v>
      </c>
      <c r="AL3" s="7"/>
      <c r="AM3" s="7" t="s">
        <v>47</v>
      </c>
      <c r="AN3" s="7" t="s">
        <v>47</v>
      </c>
      <c r="AO3" s="7" t="s">
        <v>47</v>
      </c>
      <c r="AP3" s="7" t="s">
        <v>47</v>
      </c>
      <c r="AQ3" s="7" t="s">
        <v>47</v>
      </c>
    </row>
    <row r="4" spans="1:43" x14ac:dyDescent="0.2">
      <c r="B4" s="2" t="s">
        <v>32</v>
      </c>
      <c r="C4" s="7"/>
      <c r="D4" s="7"/>
      <c r="E4" s="7"/>
      <c r="F4" s="7"/>
      <c r="G4" s="7"/>
      <c r="H4" s="7"/>
      <c r="I4" s="18"/>
      <c r="J4" s="18"/>
      <c r="K4" s="9" t="s">
        <v>34</v>
      </c>
      <c r="L4" s="7"/>
      <c r="M4" s="7"/>
      <c r="N4" s="7"/>
      <c r="O4" s="7"/>
      <c r="P4" s="7"/>
      <c r="Q4" s="7"/>
      <c r="R4" s="18"/>
      <c r="S4" s="20"/>
      <c r="T4" s="9" t="s">
        <v>36</v>
      </c>
      <c r="U4" s="7"/>
      <c r="V4" s="7"/>
      <c r="W4" s="7"/>
      <c r="X4" s="7"/>
      <c r="Y4" s="7"/>
      <c r="Z4" s="7"/>
      <c r="AA4" s="18"/>
      <c r="AB4" s="20"/>
      <c r="AC4" s="9" t="s">
        <v>38</v>
      </c>
      <c r="AD4" s="7"/>
      <c r="AE4" s="7"/>
      <c r="AF4" s="7"/>
      <c r="AG4" s="7"/>
      <c r="AH4" s="7"/>
      <c r="AI4" s="7"/>
      <c r="AJ4" s="18"/>
      <c r="AK4" s="20"/>
      <c r="AL4" s="7"/>
      <c r="AM4" s="7"/>
      <c r="AN4" s="7"/>
    </row>
    <row r="5" spans="1:43" x14ac:dyDescent="0.2">
      <c r="B5" s="2" t="s">
        <v>33</v>
      </c>
      <c r="C5" s="7"/>
      <c r="D5" s="7"/>
      <c r="E5" s="7"/>
      <c r="F5" s="7"/>
      <c r="G5" s="7"/>
      <c r="H5" s="7"/>
      <c r="I5" s="18"/>
      <c r="J5" s="18"/>
      <c r="K5" s="9" t="s">
        <v>35</v>
      </c>
      <c r="L5" s="7"/>
      <c r="M5" s="7"/>
      <c r="N5" s="7"/>
      <c r="O5" s="7"/>
      <c r="P5" s="7"/>
      <c r="Q5" s="7"/>
      <c r="R5" s="18"/>
      <c r="S5" s="20"/>
      <c r="T5" s="9" t="s">
        <v>37</v>
      </c>
      <c r="U5" s="7"/>
      <c r="V5" s="7"/>
      <c r="W5" s="7"/>
      <c r="X5" s="7"/>
      <c r="Y5" s="7"/>
      <c r="Z5" s="7"/>
      <c r="AA5" s="18"/>
      <c r="AB5" s="20"/>
      <c r="AC5" s="9" t="s">
        <v>39</v>
      </c>
      <c r="AD5" s="7"/>
      <c r="AE5" s="7"/>
      <c r="AF5" s="7"/>
      <c r="AG5" s="7"/>
      <c r="AH5" s="7"/>
      <c r="AI5" s="7"/>
      <c r="AJ5" s="18"/>
      <c r="AK5" s="20"/>
      <c r="AL5" s="7"/>
      <c r="AM5" s="7"/>
      <c r="AN5" s="7"/>
    </row>
    <row r="6" spans="1:43" x14ac:dyDescent="0.2">
      <c r="C6" s="7"/>
      <c r="D6" s="7"/>
      <c r="E6" s="7"/>
      <c r="F6" s="7"/>
      <c r="G6" s="7"/>
      <c r="H6" s="7"/>
      <c r="I6" s="18"/>
      <c r="J6" s="18"/>
      <c r="K6" s="9"/>
      <c r="L6" s="7"/>
      <c r="M6" s="7"/>
      <c r="N6" s="7"/>
      <c r="O6" s="7"/>
      <c r="P6" s="7"/>
      <c r="Q6" s="7"/>
      <c r="R6" s="18"/>
      <c r="S6" s="20"/>
      <c r="T6" s="9"/>
      <c r="U6" s="7"/>
      <c r="V6" s="7"/>
      <c r="W6" s="7"/>
      <c r="X6" s="7"/>
      <c r="Y6" s="7"/>
      <c r="Z6" s="7"/>
      <c r="AA6" s="18"/>
      <c r="AB6" s="20"/>
      <c r="AC6" s="9"/>
      <c r="AD6" s="7"/>
      <c r="AE6" s="7"/>
      <c r="AF6" s="7"/>
      <c r="AG6" s="7"/>
      <c r="AH6" s="7"/>
      <c r="AI6" s="7"/>
      <c r="AJ6" s="18"/>
      <c r="AK6" s="20"/>
      <c r="AL6" s="7"/>
      <c r="AM6" s="7"/>
      <c r="AN6" s="7"/>
    </row>
    <row r="7" spans="1:43" x14ac:dyDescent="0.2">
      <c r="A7" s="2" t="s">
        <v>3</v>
      </c>
      <c r="B7" s="2">
        <v>7.65</v>
      </c>
      <c r="C7" s="10">
        <v>7.65</v>
      </c>
      <c r="D7" s="10">
        <v>7.65</v>
      </c>
      <c r="E7" s="10">
        <v>7.65</v>
      </c>
      <c r="F7" s="10">
        <v>7.65</v>
      </c>
      <c r="G7" s="10">
        <v>7.31</v>
      </c>
      <c r="H7" s="10">
        <v>7.1</v>
      </c>
      <c r="I7" s="29">
        <v>7.25</v>
      </c>
      <c r="J7" s="29">
        <v>7.27</v>
      </c>
      <c r="K7" s="11">
        <v>7.65</v>
      </c>
      <c r="L7" s="10">
        <v>7.65</v>
      </c>
      <c r="M7" s="10">
        <v>7.65</v>
      </c>
      <c r="N7" s="10">
        <v>7.63</v>
      </c>
      <c r="O7" s="10">
        <v>7.63</v>
      </c>
      <c r="P7" s="10">
        <v>7.29</v>
      </c>
      <c r="Q7" s="10">
        <v>7.09</v>
      </c>
      <c r="R7" s="29">
        <v>7.24</v>
      </c>
      <c r="S7" s="21">
        <v>7.26</v>
      </c>
      <c r="T7" s="11">
        <v>7.65</v>
      </c>
      <c r="U7" s="10">
        <v>7.65</v>
      </c>
      <c r="V7" s="10">
        <v>7.65</v>
      </c>
      <c r="W7" s="10">
        <v>7.65</v>
      </c>
      <c r="X7" s="10">
        <v>7.65</v>
      </c>
      <c r="Y7" s="10">
        <v>7.65</v>
      </c>
      <c r="Z7" s="10">
        <v>7.65</v>
      </c>
      <c r="AA7" s="29">
        <v>7.65</v>
      </c>
      <c r="AB7" s="21">
        <v>7.65</v>
      </c>
      <c r="AC7" s="11">
        <v>7.65</v>
      </c>
      <c r="AD7" s="10">
        <v>7.65</v>
      </c>
      <c r="AE7" s="10">
        <v>7.65</v>
      </c>
      <c r="AF7" s="10">
        <v>7.65</v>
      </c>
      <c r="AG7" s="7">
        <v>7.65</v>
      </c>
      <c r="AH7" s="7">
        <v>7.31</v>
      </c>
      <c r="AI7" s="10">
        <v>7.1</v>
      </c>
      <c r="AJ7" s="29">
        <v>7.25</v>
      </c>
      <c r="AK7" s="21">
        <v>7.27</v>
      </c>
      <c r="AL7" s="7"/>
      <c r="AM7" s="7">
        <v>7.65</v>
      </c>
      <c r="AN7" s="7">
        <v>7.31</v>
      </c>
      <c r="AO7" s="7">
        <v>7.1</v>
      </c>
      <c r="AP7" s="7">
        <v>7.25</v>
      </c>
      <c r="AQ7" s="7">
        <v>7.27</v>
      </c>
    </row>
    <row r="8" spans="1:43" x14ac:dyDescent="0.2">
      <c r="A8" s="2" t="s">
        <v>4</v>
      </c>
      <c r="B8" s="2">
        <f>4.66+0.51+0.51</f>
        <v>5.68</v>
      </c>
      <c r="C8" s="10">
        <v>6.14</v>
      </c>
      <c r="D8" s="10">
        <f>5.3+0.52+0.05+0.46</f>
        <v>6.33</v>
      </c>
      <c r="E8" s="10">
        <f>5.37+0.43+0.52+0.05</f>
        <v>6.37</v>
      </c>
      <c r="F8" s="10">
        <f>5.6+0.42+0.52+0.05</f>
        <v>6.589999999999999</v>
      </c>
      <c r="G8" s="10">
        <f>6.83+0.42+0.48+0.04</f>
        <v>7.7700000000000005</v>
      </c>
      <c r="H8" s="10">
        <f>6.71+0.41+0.47+0.04</f>
        <v>7.63</v>
      </c>
      <c r="I8" s="29">
        <f>6.13+0.46+0.54+0.04</f>
        <v>7.17</v>
      </c>
      <c r="J8" s="29">
        <f>6.23+0.43+0.48+0.03</f>
        <v>7.1700000000000008</v>
      </c>
      <c r="K8" s="11">
        <f>8.94+0.98+0.98</f>
        <v>10.9</v>
      </c>
      <c r="L8" s="10">
        <v>11.45</v>
      </c>
      <c r="M8" s="10">
        <f>10+0.87+0.98+0.08</f>
        <v>11.93</v>
      </c>
      <c r="N8" s="10">
        <f>10.4+0.84+1+0.1</f>
        <v>12.34</v>
      </c>
      <c r="O8" s="10">
        <f>10.76+0.81+1+0.09</f>
        <v>12.66</v>
      </c>
      <c r="P8" s="10">
        <f>11.47+0.8+0.9+0.08</f>
        <v>13.250000000000002</v>
      </c>
      <c r="Q8" s="10">
        <f>11.88+0.82+0.93+0.08</f>
        <v>13.71</v>
      </c>
      <c r="R8" s="29">
        <f>11.64+0.87+1.03+0.07</f>
        <v>13.61</v>
      </c>
      <c r="S8" s="21">
        <f>12.03+0.83+0.93+0.07</f>
        <v>13.86</v>
      </c>
      <c r="T8" s="11"/>
      <c r="U8" s="10"/>
      <c r="V8" s="10"/>
      <c r="W8" s="10"/>
      <c r="X8" s="10"/>
      <c r="Y8" s="10"/>
      <c r="Z8" s="10"/>
      <c r="AA8" s="29"/>
      <c r="AB8" s="21"/>
      <c r="AC8" s="11">
        <f>2.28+7.95+0.94</f>
        <v>11.17</v>
      </c>
      <c r="AD8" s="10">
        <v>10.73</v>
      </c>
      <c r="AE8" s="7">
        <f>2.31+0.82+0.08+6.56</f>
        <v>9.77</v>
      </c>
      <c r="AF8" s="7">
        <f>2.25+0.78+6.5</f>
        <v>9.5300000000000011</v>
      </c>
      <c r="AG8" s="7">
        <f>2.37+0.71+6.23</f>
        <v>9.31</v>
      </c>
      <c r="AH8" s="7">
        <f>3.53+0.86+7.86</f>
        <v>12.25</v>
      </c>
      <c r="AI8" s="7">
        <f>8.2+3.63+0.84</f>
        <v>12.669999999999998</v>
      </c>
      <c r="AJ8" s="18">
        <f>7.28+3.56+0.89</f>
        <v>11.73</v>
      </c>
      <c r="AK8" s="20">
        <f>7.82+3.63+0.84</f>
        <v>12.29</v>
      </c>
      <c r="AL8" s="7"/>
      <c r="AM8" s="10">
        <v>1.8</v>
      </c>
      <c r="AN8" s="7">
        <v>1.64</v>
      </c>
      <c r="AO8" s="7">
        <v>1.59</v>
      </c>
      <c r="AP8" s="7">
        <v>1.86</v>
      </c>
      <c r="AQ8" s="7">
        <v>1.7</v>
      </c>
    </row>
    <row r="9" spans="1:43" x14ac:dyDescent="0.2">
      <c r="A9" s="2" t="s">
        <v>5</v>
      </c>
      <c r="B9" s="2">
        <v>0.09</v>
      </c>
      <c r="C9" s="10">
        <v>0.09</v>
      </c>
      <c r="D9" s="10">
        <v>0.09</v>
      </c>
      <c r="E9" s="10">
        <v>0.09</v>
      </c>
      <c r="F9" s="10">
        <v>0.09</v>
      </c>
      <c r="G9" s="10">
        <v>0.08</v>
      </c>
      <c r="H9" s="10">
        <v>7.0000000000000007E-2</v>
      </c>
      <c r="I9" s="29">
        <v>7.0000000000000007E-2</v>
      </c>
      <c r="J9" s="29">
        <v>7.0000000000000007E-2</v>
      </c>
      <c r="K9" s="11">
        <v>0.18</v>
      </c>
      <c r="L9" s="10">
        <v>0.17</v>
      </c>
      <c r="M9" s="10">
        <v>0.16</v>
      </c>
      <c r="N9" s="10">
        <v>0.17</v>
      </c>
      <c r="O9" s="10">
        <v>0.17</v>
      </c>
      <c r="P9" s="10">
        <v>0.15</v>
      </c>
      <c r="Q9" s="10">
        <v>0.14000000000000001</v>
      </c>
      <c r="R9" s="29">
        <v>0.13</v>
      </c>
      <c r="S9" s="21">
        <v>0.14000000000000001</v>
      </c>
      <c r="T9" s="11">
        <v>0.91</v>
      </c>
      <c r="U9" s="10">
        <v>0.73</v>
      </c>
      <c r="V9" s="10">
        <v>0.68</v>
      </c>
      <c r="W9" s="10">
        <v>0.77</v>
      </c>
      <c r="X9" s="10">
        <v>0.7</v>
      </c>
      <c r="Y9" s="10">
        <v>0.78</v>
      </c>
      <c r="Z9" s="10">
        <v>0.77</v>
      </c>
      <c r="AA9" s="29">
        <v>0.71</v>
      </c>
      <c r="AB9" s="21">
        <v>0.8</v>
      </c>
      <c r="AC9" s="11">
        <v>0.17</v>
      </c>
      <c r="AD9" s="10">
        <v>0.15</v>
      </c>
      <c r="AE9" s="10">
        <v>0.15</v>
      </c>
      <c r="AF9" s="10">
        <v>0.16</v>
      </c>
      <c r="AG9" s="7">
        <v>0.14000000000000001</v>
      </c>
      <c r="AH9" s="7">
        <v>0.16</v>
      </c>
      <c r="AI9" s="7">
        <v>0.15</v>
      </c>
      <c r="AJ9" s="18">
        <v>0.14000000000000001</v>
      </c>
      <c r="AK9" s="20">
        <v>0.14000000000000001</v>
      </c>
      <c r="AL9" s="7"/>
      <c r="AM9" s="7">
        <v>0.3</v>
      </c>
      <c r="AN9" s="7">
        <v>0.27</v>
      </c>
      <c r="AO9" s="7">
        <v>0.24</v>
      </c>
      <c r="AP9" s="7">
        <v>0.24</v>
      </c>
      <c r="AQ9" s="7">
        <v>0.26</v>
      </c>
    </row>
    <row r="10" spans="1:43" x14ac:dyDescent="0.2">
      <c r="A10" s="2" t="s">
        <v>12</v>
      </c>
      <c r="B10" s="2">
        <v>0.75</v>
      </c>
      <c r="C10" s="10">
        <v>0.77</v>
      </c>
      <c r="D10" s="10">
        <v>0.9</v>
      </c>
      <c r="E10" s="10">
        <v>0.68</v>
      </c>
      <c r="F10" s="10">
        <v>0.46</v>
      </c>
      <c r="G10" s="10">
        <v>0.44</v>
      </c>
      <c r="H10" s="10">
        <v>0.48</v>
      </c>
      <c r="I10" s="29">
        <v>0.44</v>
      </c>
      <c r="J10" s="29">
        <v>0.47</v>
      </c>
      <c r="K10" s="11">
        <v>0.45</v>
      </c>
      <c r="L10" s="10">
        <v>0.47</v>
      </c>
      <c r="M10" s="10">
        <v>0.62</v>
      </c>
      <c r="N10" s="10">
        <v>0.7</v>
      </c>
      <c r="O10" s="10">
        <v>0.83</v>
      </c>
      <c r="P10" s="10">
        <v>0.82</v>
      </c>
      <c r="Q10" s="10">
        <v>0.89</v>
      </c>
      <c r="R10" s="29">
        <v>0.88</v>
      </c>
      <c r="S10" s="21">
        <v>0.84</v>
      </c>
      <c r="T10" s="11">
        <v>0.45</v>
      </c>
      <c r="U10" s="10">
        <v>0.47</v>
      </c>
      <c r="V10" s="10">
        <v>0.63</v>
      </c>
      <c r="W10" s="10">
        <v>0.38</v>
      </c>
      <c r="X10" s="10">
        <v>0.09</v>
      </c>
      <c r="Y10" s="10">
        <v>0.24</v>
      </c>
      <c r="Z10" s="10">
        <v>0.21</v>
      </c>
      <c r="AA10" s="29">
        <v>0.16</v>
      </c>
      <c r="AB10" s="21">
        <v>0.21</v>
      </c>
      <c r="AC10" s="11">
        <v>0.45</v>
      </c>
      <c r="AD10" s="10">
        <v>0.47</v>
      </c>
      <c r="AE10" s="10">
        <v>0.63</v>
      </c>
      <c r="AF10" s="10">
        <v>0.33</v>
      </c>
      <c r="AG10" s="7">
        <v>0.18</v>
      </c>
      <c r="AH10" s="7">
        <v>0.13</v>
      </c>
      <c r="AI10" s="7">
        <v>0.26</v>
      </c>
      <c r="AJ10" s="18">
        <v>0.34</v>
      </c>
      <c r="AK10" s="20">
        <v>0.24</v>
      </c>
      <c r="AL10" s="7"/>
      <c r="AM10" s="7">
        <v>2.0499999999999998</v>
      </c>
      <c r="AN10" s="7">
        <v>1.96</v>
      </c>
      <c r="AO10" s="7">
        <v>1.55</v>
      </c>
      <c r="AP10" s="7">
        <v>1.22</v>
      </c>
      <c r="AQ10" s="7">
        <v>1.1599999999999999</v>
      </c>
    </row>
    <row r="11" spans="1:43" x14ac:dyDescent="0.2">
      <c r="A11" s="2" t="s">
        <v>6</v>
      </c>
      <c r="B11" s="2">
        <v>0.36</v>
      </c>
      <c r="C11" s="10">
        <v>0.36</v>
      </c>
      <c r="D11" s="10">
        <v>0.43</v>
      </c>
      <c r="E11" s="10">
        <v>0.37</v>
      </c>
      <c r="F11" s="10">
        <v>0.34</v>
      </c>
      <c r="G11" s="10">
        <v>0.33</v>
      </c>
      <c r="H11" s="10">
        <v>0.34</v>
      </c>
      <c r="I11" s="29">
        <v>0.32</v>
      </c>
      <c r="J11" s="29">
        <v>0.27</v>
      </c>
      <c r="K11" s="11">
        <v>0.7</v>
      </c>
      <c r="L11" s="10">
        <v>0.69</v>
      </c>
      <c r="M11" s="10">
        <v>0.78</v>
      </c>
      <c r="N11" s="10">
        <v>0.67</v>
      </c>
      <c r="O11" s="10">
        <v>0.63</v>
      </c>
      <c r="P11" s="10">
        <v>0.6</v>
      </c>
      <c r="Q11" s="10">
        <v>0.64</v>
      </c>
      <c r="R11" s="29">
        <v>0.61</v>
      </c>
      <c r="S11" s="21">
        <v>0.52</v>
      </c>
      <c r="T11" s="11"/>
      <c r="U11" s="10"/>
      <c r="V11" s="10"/>
      <c r="W11" s="10"/>
      <c r="X11" s="10"/>
      <c r="Y11" s="10"/>
      <c r="Z11" s="10"/>
      <c r="AA11" s="29"/>
      <c r="AB11" s="21"/>
      <c r="AC11" s="11">
        <v>0.53</v>
      </c>
      <c r="AD11" s="10">
        <v>0.57999999999999996</v>
      </c>
      <c r="AE11" s="10">
        <v>0.6</v>
      </c>
      <c r="AF11" s="10">
        <v>0.49</v>
      </c>
      <c r="AG11" s="7">
        <v>0.47</v>
      </c>
      <c r="AH11" s="7">
        <v>0.68</v>
      </c>
      <c r="AI11" s="7">
        <v>0.77</v>
      </c>
      <c r="AJ11" s="18">
        <v>0.65</v>
      </c>
      <c r="AK11" s="20">
        <v>0.54</v>
      </c>
      <c r="AL11" s="7"/>
      <c r="AM11" s="7">
        <v>0.94</v>
      </c>
      <c r="AN11" s="7">
        <v>0.96</v>
      </c>
      <c r="AO11" s="7">
        <v>0.88</v>
      </c>
      <c r="AP11" s="7">
        <v>0.82</v>
      </c>
      <c r="AQ11" s="7">
        <v>0.64</v>
      </c>
    </row>
    <row r="12" spans="1:43" x14ac:dyDescent="0.2">
      <c r="A12" s="2" t="s">
        <v>7</v>
      </c>
      <c r="B12" s="2">
        <v>0.25</v>
      </c>
      <c r="C12" s="10">
        <v>0.23</v>
      </c>
      <c r="D12" s="10">
        <v>0.22</v>
      </c>
      <c r="E12" s="10">
        <v>0.19</v>
      </c>
      <c r="F12" s="10">
        <v>0.16</v>
      </c>
      <c r="G12" s="10">
        <v>0.16</v>
      </c>
      <c r="H12" s="10">
        <v>0.13</v>
      </c>
      <c r="I12" s="29">
        <v>0.09</v>
      </c>
      <c r="J12" s="29">
        <v>0.13</v>
      </c>
      <c r="K12" s="11">
        <v>0.25</v>
      </c>
      <c r="L12" s="10">
        <v>0.23</v>
      </c>
      <c r="M12" s="10">
        <v>0.22</v>
      </c>
      <c r="N12" s="10">
        <v>0.19</v>
      </c>
      <c r="O12" s="10">
        <v>0.16</v>
      </c>
      <c r="P12" s="10">
        <v>0.16</v>
      </c>
      <c r="Q12" s="10">
        <v>0.13</v>
      </c>
      <c r="R12" s="29">
        <v>0.12</v>
      </c>
      <c r="S12" s="21">
        <v>0.13</v>
      </c>
      <c r="T12" s="11"/>
      <c r="U12" s="10"/>
      <c r="V12" s="10"/>
      <c r="W12" s="10"/>
      <c r="X12" s="10"/>
      <c r="Y12" s="10"/>
      <c r="Z12" s="10"/>
      <c r="AA12" s="29"/>
      <c r="AB12" s="21"/>
      <c r="AC12" s="11">
        <v>0.25</v>
      </c>
      <c r="AD12" s="10">
        <v>0.23</v>
      </c>
      <c r="AE12" s="10">
        <v>0.22</v>
      </c>
      <c r="AF12" s="10">
        <v>0.19</v>
      </c>
      <c r="AG12" s="7">
        <v>0.16</v>
      </c>
      <c r="AH12" s="7">
        <v>0.16</v>
      </c>
      <c r="AI12" s="7">
        <v>0.13</v>
      </c>
      <c r="AJ12" s="18">
        <v>0.12</v>
      </c>
      <c r="AK12" s="20">
        <v>0.13</v>
      </c>
      <c r="AL12" s="7"/>
      <c r="AM12" s="7"/>
      <c r="AN12" s="7"/>
    </row>
    <row r="13" spans="1:43" x14ac:dyDescent="0.2">
      <c r="A13" s="2" t="s">
        <v>8</v>
      </c>
      <c r="B13" s="2">
        <f>1.42+7.45</f>
        <v>8.870000000000001</v>
      </c>
      <c r="C13" s="10">
        <v>8.6300000000000008</v>
      </c>
      <c r="D13" s="10">
        <f>0.94+7.97</f>
        <v>8.91</v>
      </c>
      <c r="E13" s="10">
        <f>7.96+0.87</f>
        <v>8.83</v>
      </c>
      <c r="F13" s="10">
        <f>7.56+0.67</f>
        <v>8.23</v>
      </c>
      <c r="G13" s="10">
        <f>7.3+0.62</f>
        <v>7.92</v>
      </c>
      <c r="H13" s="10">
        <f>7.24+0.55</f>
        <v>7.79</v>
      </c>
      <c r="I13" s="29">
        <f>8.14+0.51</f>
        <v>8.65</v>
      </c>
      <c r="J13" s="29">
        <f>7.55+0.5</f>
        <v>8.0500000000000007</v>
      </c>
      <c r="K13" s="11">
        <v>5.29</v>
      </c>
      <c r="L13" s="10">
        <v>5.29</v>
      </c>
      <c r="M13" s="10">
        <v>5.35</v>
      </c>
      <c r="N13" s="10">
        <v>5.26</v>
      </c>
      <c r="O13" s="10">
        <v>5.27</v>
      </c>
      <c r="P13" s="10">
        <v>4.97</v>
      </c>
      <c r="Q13" s="10">
        <v>4.9000000000000004</v>
      </c>
      <c r="R13" s="29">
        <v>5.07</v>
      </c>
      <c r="S13" s="21">
        <v>5.14</v>
      </c>
      <c r="T13" s="11"/>
      <c r="U13" s="10"/>
      <c r="V13" s="10"/>
      <c r="W13" s="10"/>
      <c r="X13" s="10"/>
      <c r="Y13" s="10"/>
      <c r="Z13" s="10"/>
      <c r="AA13" s="29"/>
      <c r="AB13" s="21"/>
      <c r="AC13" s="11"/>
      <c r="AD13" s="10"/>
      <c r="AE13" s="7"/>
      <c r="AF13" s="7"/>
      <c r="AG13" s="7"/>
      <c r="AH13" s="7"/>
      <c r="AI13" s="7"/>
      <c r="AJ13" s="18"/>
      <c r="AK13" s="20"/>
      <c r="AL13" s="7"/>
      <c r="AM13" s="10">
        <v>5.4</v>
      </c>
      <c r="AN13" s="7">
        <v>5.1100000000000003</v>
      </c>
      <c r="AO13" s="7">
        <v>4.63</v>
      </c>
      <c r="AP13" s="7">
        <v>5.29</v>
      </c>
      <c r="AQ13" s="7">
        <v>5.21</v>
      </c>
    </row>
    <row r="14" spans="1:43" x14ac:dyDescent="0.2">
      <c r="A14" s="2" t="s">
        <v>9</v>
      </c>
      <c r="B14" s="2">
        <v>0.41</v>
      </c>
      <c r="C14" s="10">
        <v>0.56999999999999995</v>
      </c>
      <c r="D14" s="10">
        <v>0.49</v>
      </c>
      <c r="E14" s="10">
        <v>0.54</v>
      </c>
      <c r="F14" s="10">
        <v>0.55000000000000004</v>
      </c>
      <c r="G14" s="10">
        <v>0.64</v>
      </c>
      <c r="H14" s="10">
        <v>0.51</v>
      </c>
      <c r="I14" s="29">
        <v>0.67</v>
      </c>
      <c r="J14" s="29">
        <v>0.67</v>
      </c>
      <c r="K14" s="11">
        <v>0.65</v>
      </c>
      <c r="L14" s="10">
        <v>0.85</v>
      </c>
      <c r="M14" s="10">
        <v>0.74</v>
      </c>
      <c r="N14" s="10">
        <v>0.86</v>
      </c>
      <c r="O14" s="10">
        <v>0.88</v>
      </c>
      <c r="P14" s="10">
        <v>0.82</v>
      </c>
      <c r="Q14" s="10">
        <v>0.71</v>
      </c>
      <c r="R14" s="29">
        <v>0.6</v>
      </c>
      <c r="S14" s="21">
        <v>0.76</v>
      </c>
      <c r="T14" s="11">
        <v>1.67</v>
      </c>
      <c r="U14" s="10">
        <v>2.02</v>
      </c>
      <c r="V14" s="10">
        <v>1.86</v>
      </c>
      <c r="W14" s="10">
        <v>1.44</v>
      </c>
      <c r="X14" s="10">
        <v>0.71</v>
      </c>
      <c r="Y14" s="10">
        <v>0.52</v>
      </c>
      <c r="Z14" s="10">
        <v>0.82</v>
      </c>
      <c r="AA14" s="29">
        <v>0.42</v>
      </c>
      <c r="AB14" s="21">
        <v>0.62</v>
      </c>
      <c r="AC14" s="11">
        <v>0.67</v>
      </c>
      <c r="AD14" s="10">
        <v>0.9</v>
      </c>
      <c r="AE14" s="10">
        <v>0.69</v>
      </c>
      <c r="AF14" s="10">
        <v>0.87</v>
      </c>
      <c r="AG14" s="7">
        <v>0.98</v>
      </c>
      <c r="AH14" s="7">
        <v>0.95</v>
      </c>
      <c r="AI14" s="7">
        <v>1.01</v>
      </c>
      <c r="AJ14" s="18">
        <v>1.1499999999999999</v>
      </c>
      <c r="AK14" s="20">
        <v>0.97</v>
      </c>
      <c r="AL14" s="7"/>
      <c r="AM14" s="10">
        <v>6.34</v>
      </c>
      <c r="AN14" s="7">
        <v>5.83</v>
      </c>
      <c r="AO14" s="7">
        <v>5.38</v>
      </c>
      <c r="AP14" s="7">
        <v>4.84</v>
      </c>
      <c r="AQ14" s="7">
        <v>4.96</v>
      </c>
    </row>
    <row r="15" spans="1:43" x14ac:dyDescent="0.2">
      <c r="A15" s="2" t="s">
        <v>10</v>
      </c>
      <c r="B15" s="2">
        <f>0.08+0.36</f>
        <v>0.44</v>
      </c>
      <c r="C15" s="10">
        <v>0.35</v>
      </c>
      <c r="D15" s="10">
        <f>0.04+0.2</f>
        <v>0.24000000000000002</v>
      </c>
      <c r="E15" s="10">
        <f>0.05+0.28</f>
        <v>0.33</v>
      </c>
      <c r="F15" s="10">
        <f>0.22+0.04</f>
        <v>0.26</v>
      </c>
      <c r="G15" s="10">
        <f>0.21+0.03</f>
        <v>0.24</v>
      </c>
      <c r="H15" s="10">
        <f>0.24+0.04</f>
        <v>0.27999999999999997</v>
      </c>
      <c r="I15" s="29">
        <f>0.28+0.04</f>
        <v>0.32</v>
      </c>
      <c r="J15" s="29">
        <f>0.25+0.03</f>
        <v>0.28000000000000003</v>
      </c>
      <c r="K15" s="11">
        <f>0.34+1.7</f>
        <v>2.04</v>
      </c>
      <c r="L15" s="10">
        <v>1.98</v>
      </c>
      <c r="M15" s="10">
        <f>0.27+1.59</f>
        <v>1.86</v>
      </c>
      <c r="N15" s="10">
        <f>0.25+1.35</f>
        <v>1.6</v>
      </c>
      <c r="O15" s="10">
        <f>0.25+1.37</f>
        <v>1.62</v>
      </c>
      <c r="P15" s="10">
        <f>0.25+1.37</f>
        <v>1.62</v>
      </c>
      <c r="Q15" s="10">
        <f>1.55+0.27</f>
        <v>1.82</v>
      </c>
      <c r="R15" s="29">
        <f>1.76+0.25</f>
        <v>2.0099999999999998</v>
      </c>
      <c r="S15" s="21">
        <f>1.58+0.23</f>
        <v>1.81</v>
      </c>
      <c r="T15" s="11"/>
      <c r="U15" s="10"/>
      <c r="V15" s="10"/>
      <c r="W15" s="10"/>
      <c r="X15" s="10"/>
      <c r="Y15" s="10"/>
      <c r="Z15" s="10"/>
      <c r="AA15" s="29"/>
      <c r="AB15" s="21"/>
      <c r="AC15" s="11">
        <v>0.46</v>
      </c>
      <c r="AD15" s="10">
        <v>0.47</v>
      </c>
      <c r="AE15" s="10">
        <v>0.4</v>
      </c>
      <c r="AF15" s="10">
        <f>1.25</f>
        <v>1.25</v>
      </c>
      <c r="AG15" s="10">
        <v>1.2</v>
      </c>
      <c r="AH15" s="10">
        <v>1.4</v>
      </c>
      <c r="AI15" s="10">
        <v>1.58</v>
      </c>
      <c r="AJ15" s="29">
        <v>1.8</v>
      </c>
      <c r="AK15" s="21">
        <v>1.59</v>
      </c>
      <c r="AL15" s="7"/>
      <c r="AM15" s="10">
        <f>2.48+0.45</f>
        <v>2.93</v>
      </c>
      <c r="AN15" s="7">
        <f>0.42+2.43</f>
        <v>2.85</v>
      </c>
      <c r="AO15" s="7">
        <f>0.47+2.65</f>
        <v>3.12</v>
      </c>
      <c r="AP15" s="7">
        <f>0.45+3.18</f>
        <v>3.6300000000000003</v>
      </c>
      <c r="AQ15" s="7">
        <f>2.9+0.43</f>
        <v>3.33</v>
      </c>
    </row>
    <row r="16" spans="1:43" x14ac:dyDescent="0.2">
      <c r="A16" s="2" t="s">
        <v>48</v>
      </c>
      <c r="C16" s="10"/>
      <c r="D16" s="10"/>
      <c r="E16" s="10"/>
      <c r="F16" s="10"/>
      <c r="G16" s="10"/>
      <c r="H16" s="10"/>
      <c r="I16" s="29"/>
      <c r="J16" s="29"/>
      <c r="K16" s="11"/>
      <c r="L16" s="10"/>
      <c r="M16" s="10"/>
      <c r="N16" s="10"/>
      <c r="O16" s="10"/>
      <c r="P16" s="10"/>
      <c r="Q16" s="10"/>
      <c r="R16" s="29"/>
      <c r="S16" s="21"/>
      <c r="T16" s="11"/>
      <c r="U16" s="10"/>
      <c r="V16" s="10"/>
      <c r="W16" s="10"/>
      <c r="X16" s="10"/>
      <c r="Y16" s="10"/>
      <c r="Z16" s="10"/>
      <c r="AA16" s="29"/>
      <c r="AB16" s="21"/>
      <c r="AC16" s="11"/>
      <c r="AD16" s="10"/>
      <c r="AE16" s="10"/>
      <c r="AF16" s="10"/>
      <c r="AG16" s="7"/>
      <c r="AH16" s="7"/>
      <c r="AI16" s="7"/>
      <c r="AJ16" s="18"/>
      <c r="AK16" s="20"/>
      <c r="AL16" s="7"/>
      <c r="AM16" s="10">
        <v>22.7</v>
      </c>
      <c r="AN16" s="7">
        <v>28.84</v>
      </c>
      <c r="AO16" s="7">
        <v>31.59</v>
      </c>
      <c r="AP16" s="7">
        <v>25.95</v>
      </c>
      <c r="AQ16" s="7">
        <v>26.7</v>
      </c>
    </row>
    <row r="17" spans="1:43" x14ac:dyDescent="0.2">
      <c r="A17" s="2" t="s">
        <v>11</v>
      </c>
      <c r="B17" s="3">
        <f t="shared" ref="B17:AI17" si="0">B36</f>
        <v>3.2899999999999991</v>
      </c>
      <c r="C17" s="10">
        <f t="shared" si="0"/>
        <v>3.6999999999999993</v>
      </c>
      <c r="D17" s="10">
        <f t="shared" si="0"/>
        <v>2.089999999999999</v>
      </c>
      <c r="E17" s="10">
        <f t="shared" si="0"/>
        <v>2.4899999999999993</v>
      </c>
      <c r="F17" s="10">
        <f t="shared" si="0"/>
        <v>2.3599999999999994</v>
      </c>
      <c r="G17" s="10">
        <f t="shared" si="0"/>
        <v>1.8499999999999999</v>
      </c>
      <c r="H17" s="10">
        <f t="shared" si="0"/>
        <v>2.7900000000000005</v>
      </c>
      <c r="I17" s="29">
        <f>I36</f>
        <v>2.6799999999999993</v>
      </c>
      <c r="J17" s="29">
        <f>J36</f>
        <v>3.32</v>
      </c>
      <c r="K17" s="11">
        <f t="shared" si="0"/>
        <v>1.83</v>
      </c>
      <c r="L17" s="10">
        <f t="shared" si="0"/>
        <v>2.2099999999999991</v>
      </c>
      <c r="M17" s="10">
        <f t="shared" si="0"/>
        <v>0.37000000000000033</v>
      </c>
      <c r="N17" s="10">
        <f t="shared" si="0"/>
        <v>1.2</v>
      </c>
      <c r="O17" s="10">
        <f t="shared" si="0"/>
        <v>6.0000000000000053E-2</v>
      </c>
      <c r="P17" s="10">
        <f t="shared" si="0"/>
        <v>0.94000000000000017</v>
      </c>
      <c r="Q17" s="10">
        <f t="shared" si="0"/>
        <v>1.3800000000000003</v>
      </c>
      <c r="R17" s="29">
        <f>R36</f>
        <v>1.54</v>
      </c>
      <c r="S17" s="21">
        <f>S36</f>
        <v>1.37</v>
      </c>
      <c r="T17" s="11">
        <f t="shared" si="0"/>
        <v>1.62</v>
      </c>
      <c r="U17" s="10">
        <f t="shared" si="0"/>
        <v>0.97</v>
      </c>
      <c r="V17" s="10">
        <f t="shared" si="0"/>
        <v>0.35000000000000003</v>
      </c>
      <c r="W17" s="10">
        <f t="shared" si="0"/>
        <v>-0.57000000000000006</v>
      </c>
      <c r="X17" s="10">
        <f t="shared" si="0"/>
        <v>0.70000000000000007</v>
      </c>
      <c r="Y17" s="10">
        <f t="shared" si="0"/>
        <v>0.12</v>
      </c>
      <c r="Z17" s="10">
        <f t="shared" si="0"/>
        <v>0.29000000000000004</v>
      </c>
      <c r="AA17" s="29">
        <f>AA36</f>
        <v>0.78</v>
      </c>
      <c r="AB17" s="21">
        <f>AB36</f>
        <v>0.24</v>
      </c>
      <c r="AC17" s="11">
        <f t="shared" si="0"/>
        <v>1.4100000000000001</v>
      </c>
      <c r="AD17" s="10">
        <f t="shared" si="0"/>
        <v>1.0000000000000027</v>
      </c>
      <c r="AE17" s="10">
        <f t="shared" si="0"/>
        <v>-2.37</v>
      </c>
      <c r="AF17" s="10">
        <f t="shared" si="0"/>
        <v>-1.8800000000000001</v>
      </c>
      <c r="AG17" s="10">
        <f t="shared" si="0"/>
        <v>-4.0000000000000036E-2</v>
      </c>
      <c r="AH17" s="10">
        <f t="shared" si="0"/>
        <v>0.34000000000000008</v>
      </c>
      <c r="AI17" s="10">
        <f t="shared" si="0"/>
        <v>1.5699999999999998</v>
      </c>
      <c r="AJ17" s="29">
        <f>AJ36</f>
        <v>0.8600000000000001</v>
      </c>
      <c r="AK17" s="21">
        <f>AK36</f>
        <v>0.69</v>
      </c>
      <c r="AL17" s="10"/>
      <c r="AM17" s="10">
        <f>AM36</f>
        <v>5.0000000000000488E-2</v>
      </c>
      <c r="AN17" s="10">
        <f>AN36</f>
        <v>-0.36999999999999966</v>
      </c>
      <c r="AO17" s="7">
        <v>0.32</v>
      </c>
      <c r="AP17" s="7">
        <f>AP36</f>
        <v>1.25</v>
      </c>
      <c r="AQ17" s="7">
        <f>AQ36</f>
        <v>-3.42</v>
      </c>
    </row>
    <row r="18" spans="1:43" x14ac:dyDescent="0.2">
      <c r="C18" s="8"/>
      <c r="D18" s="8"/>
      <c r="E18" s="8"/>
      <c r="F18" s="8"/>
      <c r="G18" s="8"/>
      <c r="H18" s="8"/>
      <c r="I18" s="28"/>
      <c r="J18" s="28"/>
      <c r="K18" s="12"/>
      <c r="L18" s="8"/>
      <c r="M18" s="8"/>
      <c r="N18" s="8"/>
      <c r="O18" s="8"/>
      <c r="P18" s="8"/>
      <c r="Q18" s="8"/>
      <c r="R18" s="28"/>
      <c r="S18" s="19"/>
      <c r="T18" s="12"/>
      <c r="U18" s="8"/>
      <c r="V18" s="8"/>
      <c r="W18" s="8"/>
      <c r="X18" s="8"/>
      <c r="Y18" s="8"/>
      <c r="Z18" s="8"/>
      <c r="AA18" s="28"/>
      <c r="AB18" s="19"/>
      <c r="AC18" s="12"/>
      <c r="AD18" s="8"/>
      <c r="AE18" s="7"/>
      <c r="AF18" s="7"/>
      <c r="AG18" s="7"/>
      <c r="AH18" s="7"/>
      <c r="AI18" s="7"/>
      <c r="AJ18" s="18"/>
      <c r="AK18" s="20"/>
      <c r="AL18" s="7"/>
      <c r="AM18" s="10"/>
      <c r="AN18" s="7"/>
    </row>
    <row r="19" spans="1:43" x14ac:dyDescent="0.2">
      <c r="A19" s="1" t="s">
        <v>13</v>
      </c>
      <c r="B19" s="4">
        <f t="shared" ref="B19:AG19" si="1">SUM(B7:B17)</f>
        <v>27.79</v>
      </c>
      <c r="C19" s="13">
        <f t="shared" si="1"/>
        <v>28.49</v>
      </c>
      <c r="D19" s="13">
        <f t="shared" si="1"/>
        <v>27.349999999999998</v>
      </c>
      <c r="E19" s="13">
        <f t="shared" si="1"/>
        <v>27.539999999999996</v>
      </c>
      <c r="F19" s="13">
        <f t="shared" si="1"/>
        <v>26.69</v>
      </c>
      <c r="G19" s="13">
        <f>SUM(G7:G17)</f>
        <v>26.74</v>
      </c>
      <c r="H19" s="13">
        <f>SUM(H7:H17)</f>
        <v>27.120000000000005</v>
      </c>
      <c r="I19" s="30">
        <f>SUM(I7:I17)</f>
        <v>27.660000000000004</v>
      </c>
      <c r="J19" s="30">
        <f>SUM(J7:J17)</f>
        <v>27.700000000000006</v>
      </c>
      <c r="K19" s="14">
        <f t="shared" si="1"/>
        <v>29.939999999999998</v>
      </c>
      <c r="L19" s="13">
        <f t="shared" si="1"/>
        <v>30.990000000000002</v>
      </c>
      <c r="M19" s="13">
        <f t="shared" si="1"/>
        <v>29.68</v>
      </c>
      <c r="N19" s="13">
        <f t="shared" si="1"/>
        <v>30.62</v>
      </c>
      <c r="O19" s="13">
        <f t="shared" si="1"/>
        <v>29.909999999999997</v>
      </c>
      <c r="P19" s="13">
        <f>SUM(P7:P17)</f>
        <v>30.620000000000005</v>
      </c>
      <c r="Q19" s="13">
        <f>SUM(Q7:Q17)</f>
        <v>31.41</v>
      </c>
      <c r="R19" s="30">
        <f>SUM(R7:R17)</f>
        <v>31.810000000000002</v>
      </c>
      <c r="S19" s="22">
        <f>SUM(S7:S17)</f>
        <v>31.83</v>
      </c>
      <c r="T19" s="14">
        <f t="shared" si="1"/>
        <v>12.3</v>
      </c>
      <c r="U19" s="13">
        <f t="shared" si="1"/>
        <v>11.840000000000002</v>
      </c>
      <c r="V19" s="13">
        <f t="shared" si="1"/>
        <v>11.17</v>
      </c>
      <c r="W19" s="13">
        <f t="shared" si="1"/>
        <v>9.67</v>
      </c>
      <c r="X19" s="13">
        <f t="shared" si="1"/>
        <v>9.8499999999999979</v>
      </c>
      <c r="Y19" s="13">
        <f>SUM(Y7:Y17)</f>
        <v>9.3099999999999987</v>
      </c>
      <c r="Z19" s="13">
        <f>SUM(Z7:Z17)</f>
        <v>9.740000000000002</v>
      </c>
      <c r="AA19" s="30">
        <f>SUM(AA7:AA17)</f>
        <v>9.7199999999999989</v>
      </c>
      <c r="AB19" s="22">
        <f>SUM(AB7:AB17)</f>
        <v>9.5200000000000014</v>
      </c>
      <c r="AC19" s="14">
        <f t="shared" si="1"/>
        <v>22.760000000000005</v>
      </c>
      <c r="AD19" s="13">
        <f t="shared" si="1"/>
        <v>22.18</v>
      </c>
      <c r="AE19" s="13">
        <f t="shared" si="1"/>
        <v>17.739999999999998</v>
      </c>
      <c r="AF19" s="13">
        <f t="shared" si="1"/>
        <v>18.59</v>
      </c>
      <c r="AG19" s="13">
        <f t="shared" si="1"/>
        <v>20.05</v>
      </c>
      <c r="AH19" s="13">
        <f>SUM(AH7:AH17)</f>
        <v>23.379999999999995</v>
      </c>
      <c r="AI19" s="13">
        <f>SUM(AI7:AI17)</f>
        <v>25.239999999999995</v>
      </c>
      <c r="AJ19" s="30">
        <f>SUM(AJ7:AJ17)</f>
        <v>24.04</v>
      </c>
      <c r="AK19" s="22">
        <f>SUM(AK7:AK17)</f>
        <v>23.859999999999996</v>
      </c>
      <c r="AL19" s="13"/>
      <c r="AM19" s="13">
        <f>SUM(AM7:AM17)</f>
        <v>50.16</v>
      </c>
      <c r="AN19" s="13">
        <f>SUM(AN7:AN17)</f>
        <v>54.4</v>
      </c>
      <c r="AO19" s="13">
        <f>SUM(AO7:AO17)</f>
        <v>56.4</v>
      </c>
      <c r="AP19" s="13">
        <f>SUM(AP7:AP17)</f>
        <v>52.349999999999994</v>
      </c>
      <c r="AQ19" s="13">
        <f>SUM(AQ7:AQ17)</f>
        <v>47.81</v>
      </c>
    </row>
    <row r="20" spans="1:43" x14ac:dyDescent="0.2">
      <c r="C20" s="7"/>
      <c r="D20" s="7"/>
      <c r="E20" s="7"/>
      <c r="F20" s="7"/>
      <c r="G20" s="7"/>
      <c r="H20" s="7"/>
      <c r="I20" s="18"/>
      <c r="J20" s="18"/>
      <c r="K20" s="9"/>
      <c r="L20" s="7"/>
      <c r="M20" s="7"/>
      <c r="N20" s="7"/>
      <c r="O20" s="7"/>
      <c r="P20" s="7"/>
      <c r="Q20" s="7"/>
      <c r="R20" s="18"/>
      <c r="S20" s="20"/>
      <c r="T20" s="9"/>
      <c r="U20" s="7"/>
      <c r="V20" s="7"/>
      <c r="W20" s="7"/>
      <c r="X20" s="7"/>
      <c r="Y20" s="7"/>
      <c r="Z20" s="7"/>
      <c r="AA20" s="18"/>
      <c r="AB20" s="20"/>
      <c r="AC20" s="9"/>
      <c r="AD20" s="7"/>
      <c r="AE20" s="7"/>
      <c r="AF20" s="7"/>
      <c r="AG20" s="7"/>
      <c r="AH20" s="7"/>
      <c r="AI20" s="7"/>
      <c r="AJ20" s="18"/>
      <c r="AK20" s="20"/>
      <c r="AL20" s="7"/>
      <c r="AM20" s="10"/>
      <c r="AN20" s="7"/>
    </row>
    <row r="21" spans="1:43" x14ac:dyDescent="0.2">
      <c r="A21" s="5" t="s">
        <v>15</v>
      </c>
      <c r="B21" s="5"/>
      <c r="C21" s="7"/>
      <c r="D21" s="7"/>
      <c r="E21" s="7"/>
      <c r="F21" s="7"/>
      <c r="G21" s="7"/>
      <c r="H21" s="7"/>
      <c r="I21" s="18"/>
      <c r="J21" s="18"/>
      <c r="K21" s="9"/>
      <c r="L21" s="7"/>
      <c r="M21" s="7"/>
      <c r="N21" s="7"/>
      <c r="O21" s="7"/>
      <c r="P21" s="7"/>
      <c r="Q21" s="7"/>
      <c r="R21" s="18"/>
      <c r="S21" s="20"/>
      <c r="T21" s="9"/>
      <c r="U21" s="7"/>
      <c r="V21" s="7"/>
      <c r="W21" s="7"/>
      <c r="X21" s="7"/>
      <c r="Y21" s="7"/>
      <c r="Z21" s="7"/>
      <c r="AA21" s="18"/>
      <c r="AB21" s="20"/>
      <c r="AC21" s="9"/>
      <c r="AD21" s="7"/>
      <c r="AE21" s="7"/>
      <c r="AF21" s="7"/>
      <c r="AG21" s="7"/>
      <c r="AH21" s="7"/>
      <c r="AI21" s="7"/>
      <c r="AJ21" s="18"/>
      <c r="AK21" s="20"/>
      <c r="AL21" s="7"/>
      <c r="AM21" s="10"/>
      <c r="AN21" s="7"/>
    </row>
    <row r="22" spans="1:43" x14ac:dyDescent="0.2">
      <c r="A22" s="2" t="s">
        <v>16</v>
      </c>
      <c r="B22" s="2">
        <v>0.15</v>
      </c>
      <c r="C22" s="10">
        <v>0.15</v>
      </c>
      <c r="D22" s="10">
        <v>0.16</v>
      </c>
      <c r="E22" s="10">
        <v>0.17</v>
      </c>
      <c r="F22" s="10">
        <v>0.16</v>
      </c>
      <c r="G22" s="10">
        <v>0.18</v>
      </c>
      <c r="H22" s="10">
        <v>0.2</v>
      </c>
      <c r="I22" s="29">
        <v>0.21</v>
      </c>
      <c r="J22" s="29">
        <v>0.21</v>
      </c>
      <c r="K22" s="11">
        <v>0.15</v>
      </c>
      <c r="L22" s="10">
        <v>0.15</v>
      </c>
      <c r="M22" s="10">
        <v>0.16</v>
      </c>
      <c r="N22" s="10">
        <v>0.17</v>
      </c>
      <c r="O22" s="10">
        <v>0.16</v>
      </c>
      <c r="P22" s="10">
        <v>0.18</v>
      </c>
      <c r="Q22" s="10">
        <v>0.2</v>
      </c>
      <c r="R22" s="29">
        <v>0.21</v>
      </c>
      <c r="S22" s="21">
        <v>0.21</v>
      </c>
      <c r="T22" s="11">
        <v>0.15</v>
      </c>
      <c r="U22" s="10">
        <v>0.15</v>
      </c>
      <c r="V22" s="10">
        <v>0.16</v>
      </c>
      <c r="W22" s="10">
        <v>0.17</v>
      </c>
      <c r="X22" s="10">
        <v>0.16</v>
      </c>
      <c r="Y22" s="10">
        <v>0.18</v>
      </c>
      <c r="Z22" s="10">
        <v>0.2</v>
      </c>
      <c r="AA22" s="29">
        <v>0.21</v>
      </c>
      <c r="AB22" s="21">
        <v>0.21</v>
      </c>
      <c r="AC22" s="11">
        <v>0.15</v>
      </c>
      <c r="AD22" s="10">
        <v>0.15</v>
      </c>
      <c r="AE22" s="10">
        <v>0.16</v>
      </c>
      <c r="AF22" s="10">
        <v>0.17</v>
      </c>
      <c r="AG22" s="7">
        <v>0.16</v>
      </c>
      <c r="AH22" s="7">
        <v>0.16</v>
      </c>
      <c r="AI22" s="7">
        <v>0.2</v>
      </c>
      <c r="AJ22" s="29">
        <v>0.2</v>
      </c>
      <c r="AK22" s="21">
        <v>0.21</v>
      </c>
      <c r="AL22" s="7"/>
      <c r="AM22" s="10">
        <v>0.16</v>
      </c>
      <c r="AN22" s="7">
        <v>0.18</v>
      </c>
      <c r="AP22" s="7">
        <v>0.21</v>
      </c>
      <c r="AQ22" s="7">
        <v>0.21</v>
      </c>
    </row>
    <row r="23" spans="1:43" x14ac:dyDescent="0.2">
      <c r="A23" s="2" t="s">
        <v>17</v>
      </c>
      <c r="C23" s="10"/>
      <c r="D23" s="10"/>
      <c r="E23" s="10"/>
      <c r="F23" s="10">
        <v>0.01</v>
      </c>
      <c r="G23" s="10">
        <v>0.02</v>
      </c>
      <c r="H23" s="10">
        <v>0.01</v>
      </c>
      <c r="I23" s="29">
        <v>0.02</v>
      </c>
      <c r="J23" s="29">
        <v>0.02</v>
      </c>
      <c r="K23" s="11">
        <v>0.03</v>
      </c>
      <c r="L23" s="10">
        <v>0.03</v>
      </c>
      <c r="M23" s="10">
        <v>0.03</v>
      </c>
      <c r="N23" s="10">
        <v>0.03</v>
      </c>
      <c r="O23" s="10">
        <v>0.02</v>
      </c>
      <c r="P23" s="10">
        <v>0.02</v>
      </c>
      <c r="Q23" s="10">
        <v>0.02</v>
      </c>
      <c r="R23" s="29">
        <v>0.02</v>
      </c>
      <c r="S23" s="21">
        <v>0.03</v>
      </c>
      <c r="T23" s="11"/>
      <c r="U23" s="10"/>
      <c r="V23" s="10"/>
      <c r="W23" s="10"/>
      <c r="X23" s="10"/>
      <c r="Y23" s="10"/>
      <c r="Z23" s="10"/>
      <c r="AA23" s="29"/>
      <c r="AB23" s="21"/>
      <c r="AC23" s="11"/>
      <c r="AD23" s="10"/>
      <c r="AE23" s="7"/>
      <c r="AF23" s="7"/>
      <c r="AG23" s="7"/>
      <c r="AH23" s="7"/>
      <c r="AI23" s="7"/>
      <c r="AJ23" s="18"/>
      <c r="AK23" s="20"/>
      <c r="AL23" s="7"/>
      <c r="AM23" s="10">
        <v>0.03</v>
      </c>
      <c r="AN23" s="7">
        <v>0.03</v>
      </c>
      <c r="AP23" s="7">
        <v>0.03</v>
      </c>
      <c r="AQ23" s="7">
        <v>0.04</v>
      </c>
    </row>
    <row r="24" spans="1:43" x14ac:dyDescent="0.2">
      <c r="A24" s="2" t="s">
        <v>18</v>
      </c>
      <c r="B24" s="2">
        <v>7.0000000000000007E-2</v>
      </c>
      <c r="C24" s="10">
        <v>7.0000000000000007E-2</v>
      </c>
      <c r="D24" s="10">
        <v>0.06</v>
      </c>
      <c r="E24" s="10">
        <v>0.05</v>
      </c>
      <c r="F24" s="10">
        <v>0.09</v>
      </c>
      <c r="G24" s="10">
        <v>0.1</v>
      </c>
      <c r="H24" s="10">
        <v>0.11</v>
      </c>
      <c r="I24" s="29">
        <v>0.09</v>
      </c>
      <c r="J24" s="29">
        <v>0.08</v>
      </c>
      <c r="K24" s="11">
        <v>0.94</v>
      </c>
      <c r="L24" s="10">
        <v>0.84</v>
      </c>
      <c r="M24" s="10">
        <v>0.72</v>
      </c>
      <c r="N24" s="10">
        <v>0.66</v>
      </c>
      <c r="O24" s="10">
        <v>0.62</v>
      </c>
      <c r="P24" s="10">
        <v>0.65</v>
      </c>
      <c r="Q24" s="10">
        <v>0.66</v>
      </c>
      <c r="R24" s="29">
        <v>0.52</v>
      </c>
      <c r="S24" s="21">
        <v>0.49</v>
      </c>
      <c r="T24" s="11"/>
      <c r="U24" s="10"/>
      <c r="V24" s="10"/>
      <c r="W24" s="10"/>
      <c r="X24" s="10"/>
      <c r="Y24" s="10"/>
      <c r="Z24" s="10"/>
      <c r="AA24" s="29"/>
      <c r="AB24" s="21"/>
      <c r="AC24" s="11"/>
      <c r="AD24" s="10"/>
      <c r="AE24" s="7"/>
      <c r="AF24" s="7"/>
      <c r="AG24" s="7"/>
      <c r="AH24" s="7"/>
      <c r="AI24" s="7"/>
      <c r="AJ24" s="18"/>
      <c r="AK24" s="20"/>
      <c r="AL24" s="7"/>
      <c r="AM24" s="10">
        <v>1.1200000000000001</v>
      </c>
      <c r="AN24" s="7">
        <v>1.17</v>
      </c>
      <c r="AP24" s="7">
        <v>0.94</v>
      </c>
      <c r="AQ24" s="7">
        <v>0.91</v>
      </c>
    </row>
    <row r="25" spans="1:43" x14ac:dyDescent="0.2">
      <c r="A25" s="2" t="s">
        <v>19</v>
      </c>
      <c r="B25" s="2">
        <v>0.1</v>
      </c>
      <c r="C25" s="10">
        <v>0.1</v>
      </c>
      <c r="D25" s="10">
        <v>0.1</v>
      </c>
      <c r="E25" s="10">
        <v>0.09</v>
      </c>
      <c r="F25" s="10">
        <v>0.08</v>
      </c>
      <c r="G25" s="10">
        <v>0.08</v>
      </c>
      <c r="H25" s="10">
        <v>0.09</v>
      </c>
      <c r="I25" s="29">
        <v>0.09</v>
      </c>
      <c r="J25" s="29">
        <v>0.09</v>
      </c>
      <c r="K25" s="11">
        <v>0.1</v>
      </c>
      <c r="L25" s="10">
        <v>0.1</v>
      </c>
      <c r="M25" s="10">
        <v>0.1</v>
      </c>
      <c r="N25" s="10">
        <v>0.09</v>
      </c>
      <c r="O25" s="10">
        <v>0.08</v>
      </c>
      <c r="P25" s="10">
        <v>0.08</v>
      </c>
      <c r="Q25" s="10">
        <v>0.09</v>
      </c>
      <c r="R25" s="29">
        <v>0.09</v>
      </c>
      <c r="S25" s="21">
        <v>0.09</v>
      </c>
      <c r="T25" s="11">
        <v>0.1</v>
      </c>
      <c r="U25" s="10">
        <v>0.1</v>
      </c>
      <c r="V25" s="10">
        <v>0.1</v>
      </c>
      <c r="W25" s="10">
        <v>0.09</v>
      </c>
      <c r="X25" s="10">
        <v>0.08</v>
      </c>
      <c r="Y25" s="10">
        <v>0.08</v>
      </c>
      <c r="Z25" s="10">
        <v>0.09</v>
      </c>
      <c r="AA25" s="29">
        <v>0.09</v>
      </c>
      <c r="AB25" s="21">
        <v>0.09</v>
      </c>
      <c r="AC25" s="11">
        <v>0.1</v>
      </c>
      <c r="AD25" s="10">
        <v>0.1</v>
      </c>
      <c r="AE25" s="10">
        <v>0.1</v>
      </c>
      <c r="AF25" s="10">
        <v>0.09</v>
      </c>
      <c r="AG25" s="7">
        <v>0.08</v>
      </c>
      <c r="AH25" s="7">
        <v>0.08</v>
      </c>
      <c r="AI25" s="7">
        <v>0.09</v>
      </c>
      <c r="AJ25" s="18">
        <v>0.09</v>
      </c>
      <c r="AK25" s="20">
        <v>0.09</v>
      </c>
      <c r="AL25" s="7"/>
      <c r="AM25" s="10">
        <v>0.08</v>
      </c>
      <c r="AN25" s="7">
        <v>0.08</v>
      </c>
      <c r="AP25" s="7">
        <v>0.09</v>
      </c>
      <c r="AQ25" s="7">
        <v>0.09</v>
      </c>
    </row>
    <row r="26" spans="1:43" x14ac:dyDescent="0.2">
      <c r="A26" s="2" t="s">
        <v>20</v>
      </c>
      <c r="B26" s="2">
        <v>0.01</v>
      </c>
      <c r="C26" s="10"/>
      <c r="D26" s="10"/>
      <c r="E26" s="10"/>
      <c r="F26" s="10">
        <v>0</v>
      </c>
      <c r="G26" s="10">
        <v>0</v>
      </c>
      <c r="H26" s="10">
        <v>0</v>
      </c>
      <c r="I26" s="29">
        <v>0</v>
      </c>
      <c r="J26" s="29">
        <v>0</v>
      </c>
      <c r="K26" s="11">
        <v>0.01</v>
      </c>
      <c r="L26" s="10">
        <v>0.01</v>
      </c>
      <c r="M26" s="10">
        <v>0.01</v>
      </c>
      <c r="N26" s="10">
        <v>0.01</v>
      </c>
      <c r="O26" s="10">
        <v>0.01</v>
      </c>
      <c r="P26" s="10">
        <v>0.01</v>
      </c>
      <c r="Q26" s="10">
        <v>0.01</v>
      </c>
      <c r="R26" s="29">
        <v>0.01</v>
      </c>
      <c r="S26" s="21">
        <v>0.01</v>
      </c>
      <c r="T26" s="11">
        <v>0.05</v>
      </c>
      <c r="U26" s="10">
        <v>0.04</v>
      </c>
      <c r="V26" s="10">
        <v>0.04</v>
      </c>
      <c r="W26" s="10">
        <v>0.04</v>
      </c>
      <c r="X26" s="10">
        <v>0.04</v>
      </c>
      <c r="Y26" s="10">
        <v>0.04</v>
      </c>
      <c r="Z26" s="10">
        <v>0.04</v>
      </c>
      <c r="AA26" s="29">
        <v>0.04</v>
      </c>
      <c r="AB26" s="21">
        <v>0.04</v>
      </c>
      <c r="AC26" s="11">
        <v>0.01</v>
      </c>
      <c r="AD26" s="10">
        <v>0.01</v>
      </c>
      <c r="AE26" s="10">
        <v>0.01</v>
      </c>
      <c r="AF26" s="10">
        <v>0.01</v>
      </c>
      <c r="AG26" s="7">
        <v>0.01</v>
      </c>
      <c r="AH26" s="7">
        <v>0.01</v>
      </c>
      <c r="AI26" s="7">
        <v>0.01</v>
      </c>
      <c r="AJ26" s="18">
        <v>0.01</v>
      </c>
      <c r="AK26" s="20">
        <v>0.01</v>
      </c>
      <c r="AL26" s="7"/>
      <c r="AM26" s="10">
        <v>0.01</v>
      </c>
      <c r="AN26" s="7">
        <v>0.01</v>
      </c>
      <c r="AP26" s="7">
        <v>0.01</v>
      </c>
      <c r="AQ26" s="7">
        <v>0.01</v>
      </c>
    </row>
    <row r="27" spans="1:43" x14ac:dyDescent="0.2">
      <c r="A27" s="2" t="s">
        <v>21</v>
      </c>
      <c r="B27" s="2">
        <v>2.42</v>
      </c>
      <c r="C27" s="10">
        <v>2.3199999999999998</v>
      </c>
      <c r="D27" s="10">
        <v>2.27</v>
      </c>
      <c r="E27" s="10">
        <v>2.09</v>
      </c>
      <c r="F27" s="10">
        <v>1.52</v>
      </c>
      <c r="G27" s="10">
        <v>1.41</v>
      </c>
      <c r="H27" s="10">
        <v>1.27</v>
      </c>
      <c r="I27" s="29">
        <v>1.78</v>
      </c>
      <c r="J27" s="29">
        <v>1.7</v>
      </c>
      <c r="K27" s="11"/>
      <c r="L27" s="10"/>
      <c r="M27" s="10"/>
      <c r="N27" s="10"/>
      <c r="O27" s="10"/>
      <c r="P27" s="10"/>
      <c r="Q27" s="10"/>
      <c r="R27" s="29"/>
      <c r="S27" s="21"/>
      <c r="T27" s="11"/>
      <c r="U27" s="10"/>
      <c r="V27" s="10"/>
      <c r="W27" s="10"/>
      <c r="X27" s="10"/>
      <c r="Y27" s="10"/>
      <c r="Z27" s="10"/>
      <c r="AA27" s="29"/>
      <c r="AB27" s="21"/>
      <c r="AC27" s="11"/>
      <c r="AD27" s="10"/>
      <c r="AE27" s="7"/>
      <c r="AF27" s="7"/>
      <c r="AG27" s="7"/>
      <c r="AH27" s="7"/>
      <c r="AI27" s="7"/>
      <c r="AJ27" s="18"/>
      <c r="AK27" s="20"/>
      <c r="AL27" s="7"/>
      <c r="AM27" s="10"/>
      <c r="AN27" s="7"/>
    </row>
    <row r="28" spans="1:43" x14ac:dyDescent="0.2">
      <c r="A28" s="2" t="s">
        <v>22</v>
      </c>
      <c r="B28" s="2">
        <v>0.05</v>
      </c>
      <c r="C28" s="10">
        <v>0.06</v>
      </c>
      <c r="D28" s="10">
        <v>7.0000000000000007E-2</v>
      </c>
      <c r="E28" s="10">
        <v>7.0000000000000007E-2</v>
      </c>
      <c r="F28" s="10">
        <v>0.06</v>
      </c>
      <c r="G28" s="10">
        <v>0.08</v>
      </c>
      <c r="H28" s="10">
        <v>7.0000000000000007E-2</v>
      </c>
      <c r="I28" s="29">
        <v>7.0000000000000007E-2</v>
      </c>
      <c r="J28" s="29">
        <v>7.0000000000000007E-2</v>
      </c>
      <c r="K28" s="11">
        <v>0.05</v>
      </c>
      <c r="L28" s="10">
        <v>0.06</v>
      </c>
      <c r="M28" s="10">
        <v>7.0000000000000007E-2</v>
      </c>
      <c r="N28" s="10">
        <v>7.0000000000000007E-2</v>
      </c>
      <c r="O28" s="10">
        <v>0.06</v>
      </c>
      <c r="P28" s="10">
        <v>0.08</v>
      </c>
      <c r="Q28" s="10">
        <v>7.0000000000000007E-2</v>
      </c>
      <c r="R28" s="29">
        <v>7.0000000000000007E-2</v>
      </c>
      <c r="S28" s="21">
        <v>7.0000000000000007E-2</v>
      </c>
      <c r="T28" s="11">
        <v>0.05</v>
      </c>
      <c r="U28" s="10">
        <v>0.06</v>
      </c>
      <c r="V28" s="10">
        <v>7.0000000000000007E-2</v>
      </c>
      <c r="W28" s="10">
        <v>7.0000000000000007E-2</v>
      </c>
      <c r="X28" s="10">
        <v>0.06</v>
      </c>
      <c r="Y28" s="10">
        <v>0.08</v>
      </c>
      <c r="Z28" s="10">
        <v>7.0000000000000007E-2</v>
      </c>
      <c r="AA28" s="29">
        <v>7.0000000000000007E-2</v>
      </c>
      <c r="AB28" s="21">
        <v>7.0000000000000007E-2</v>
      </c>
      <c r="AC28" s="11">
        <v>0.05</v>
      </c>
      <c r="AD28" s="10">
        <v>0.06</v>
      </c>
      <c r="AE28" s="10">
        <v>7.0000000000000007E-2</v>
      </c>
      <c r="AF28" s="10">
        <v>7.0000000000000007E-2</v>
      </c>
      <c r="AG28" s="7">
        <v>0.06</v>
      </c>
      <c r="AH28" s="7">
        <v>0.08</v>
      </c>
      <c r="AI28" s="7">
        <v>7.0000000000000007E-2</v>
      </c>
      <c r="AJ28" s="18">
        <v>7.0000000000000007E-2</v>
      </c>
      <c r="AK28" s="20">
        <v>7.0000000000000007E-2</v>
      </c>
      <c r="AL28" s="7"/>
      <c r="AM28" s="10">
        <v>0.08</v>
      </c>
      <c r="AN28" s="7">
        <v>0.08</v>
      </c>
      <c r="AP28" s="7">
        <v>7.0000000000000007E-2</v>
      </c>
      <c r="AQ28" s="7">
        <v>7.0000000000000007E-2</v>
      </c>
    </row>
    <row r="29" spans="1:43" x14ac:dyDescent="0.2">
      <c r="A29" s="2" t="s">
        <v>23</v>
      </c>
      <c r="B29" s="2">
        <v>0.12</v>
      </c>
      <c r="C29" s="10">
        <v>0.12</v>
      </c>
      <c r="D29" s="10">
        <v>0.11</v>
      </c>
      <c r="E29" s="10">
        <v>0.12</v>
      </c>
      <c r="F29" s="10">
        <v>0.11</v>
      </c>
      <c r="G29" s="10">
        <v>0.11</v>
      </c>
      <c r="H29" s="10">
        <v>0.11</v>
      </c>
      <c r="I29" s="29">
        <v>0.13</v>
      </c>
      <c r="J29" s="29">
        <v>0.12</v>
      </c>
      <c r="K29" s="11">
        <v>0.12</v>
      </c>
      <c r="L29" s="10">
        <v>0.12</v>
      </c>
      <c r="M29" s="10">
        <v>0.11</v>
      </c>
      <c r="N29" s="10">
        <v>0.12</v>
      </c>
      <c r="O29" s="10">
        <v>0.11</v>
      </c>
      <c r="P29" s="10">
        <v>0.11</v>
      </c>
      <c r="Q29" s="10">
        <v>0.11</v>
      </c>
      <c r="R29" s="29">
        <v>0.13</v>
      </c>
      <c r="S29" s="21">
        <v>0.12</v>
      </c>
      <c r="T29" s="11">
        <v>0.12</v>
      </c>
      <c r="U29" s="10">
        <v>0.12</v>
      </c>
      <c r="V29" s="10">
        <v>0.11</v>
      </c>
      <c r="W29" s="10">
        <v>0.12</v>
      </c>
      <c r="X29" s="10">
        <v>0.11</v>
      </c>
      <c r="Y29" s="10">
        <v>0.11</v>
      </c>
      <c r="Z29" s="10">
        <v>0.11</v>
      </c>
      <c r="AA29" s="29">
        <v>0.13</v>
      </c>
      <c r="AB29" s="21">
        <v>0.12</v>
      </c>
      <c r="AC29" s="11">
        <v>0.12</v>
      </c>
      <c r="AD29" s="10">
        <v>0.12</v>
      </c>
      <c r="AE29" s="10">
        <v>0.11</v>
      </c>
      <c r="AF29" s="10">
        <v>0.12</v>
      </c>
      <c r="AG29" s="7">
        <v>0.11</v>
      </c>
      <c r="AH29" s="7">
        <v>0.11</v>
      </c>
      <c r="AI29" s="7">
        <v>0.11</v>
      </c>
      <c r="AJ29" s="18">
        <v>0.13</v>
      </c>
      <c r="AK29" s="20">
        <v>0.12</v>
      </c>
      <c r="AL29" s="7"/>
      <c r="AM29" s="10">
        <v>0.11</v>
      </c>
      <c r="AN29" s="7">
        <v>0.11</v>
      </c>
      <c r="AP29" s="7">
        <v>0.13</v>
      </c>
      <c r="AQ29" s="7">
        <v>0.12</v>
      </c>
    </row>
    <row r="30" spans="1:43" x14ac:dyDescent="0.2">
      <c r="A30" s="2" t="s">
        <v>24</v>
      </c>
      <c r="B30" s="2">
        <v>0.01</v>
      </c>
      <c r="C30" s="10">
        <v>0.01</v>
      </c>
      <c r="D30" s="10">
        <v>0.01</v>
      </c>
      <c r="E30" s="10">
        <v>0.01</v>
      </c>
      <c r="F30" s="10">
        <v>0.01</v>
      </c>
      <c r="G30" s="10">
        <v>0.01</v>
      </c>
      <c r="H30" s="10">
        <v>0.01</v>
      </c>
      <c r="I30" s="29">
        <v>0.01</v>
      </c>
      <c r="J30" s="29">
        <v>0.01</v>
      </c>
      <c r="K30" s="11">
        <v>0.03</v>
      </c>
      <c r="L30" s="10">
        <v>0.03</v>
      </c>
      <c r="M30" s="10">
        <v>0.03</v>
      </c>
      <c r="N30" s="10">
        <v>0.03</v>
      </c>
      <c r="O30" s="10">
        <v>0.02</v>
      </c>
      <c r="P30" s="10">
        <v>0.02</v>
      </c>
      <c r="Q30" s="10">
        <v>0.03</v>
      </c>
      <c r="R30" s="29">
        <v>0.02</v>
      </c>
      <c r="S30" s="21">
        <v>0.02</v>
      </c>
      <c r="T30" s="11">
        <v>0.13</v>
      </c>
      <c r="U30" s="10">
        <v>0.11</v>
      </c>
      <c r="V30" s="10">
        <v>0.12</v>
      </c>
      <c r="W30" s="10">
        <v>0.12</v>
      </c>
      <c r="X30" s="10">
        <v>0.11</v>
      </c>
      <c r="Y30" s="10">
        <v>0.12</v>
      </c>
      <c r="Z30" s="10">
        <v>0.14000000000000001</v>
      </c>
      <c r="AA30" s="29">
        <v>0.13</v>
      </c>
      <c r="AB30" s="21">
        <v>0.13</v>
      </c>
      <c r="AC30" s="11">
        <v>0.02</v>
      </c>
      <c r="AD30" s="10">
        <v>0.02</v>
      </c>
      <c r="AE30" s="10">
        <v>0.03</v>
      </c>
      <c r="AF30" s="10">
        <v>0.02</v>
      </c>
      <c r="AG30" s="7">
        <v>0.02</v>
      </c>
      <c r="AH30" s="7">
        <v>0.02</v>
      </c>
      <c r="AI30" s="7">
        <v>0.03</v>
      </c>
      <c r="AJ30" s="18">
        <v>0.02</v>
      </c>
      <c r="AK30" s="20">
        <v>0.02</v>
      </c>
      <c r="AL30" s="7"/>
      <c r="AM30" s="10">
        <v>0.04</v>
      </c>
      <c r="AN30" s="7">
        <v>0.04</v>
      </c>
      <c r="AP30" s="7">
        <v>0.04</v>
      </c>
      <c r="AQ30" s="7">
        <v>0.04</v>
      </c>
    </row>
    <row r="31" spans="1:43" x14ac:dyDescent="0.2">
      <c r="A31" s="2" t="s">
        <v>25</v>
      </c>
      <c r="B31" s="2">
        <v>0.04</v>
      </c>
      <c r="C31" s="10">
        <v>0.04</v>
      </c>
      <c r="D31" s="10">
        <v>0.05</v>
      </c>
      <c r="E31" s="10">
        <v>0.06</v>
      </c>
      <c r="F31" s="10">
        <v>0.05</v>
      </c>
      <c r="G31" s="10">
        <v>7.0000000000000007E-2</v>
      </c>
      <c r="H31" s="10">
        <v>0.08</v>
      </c>
      <c r="I31" s="29">
        <v>7.0000000000000007E-2</v>
      </c>
      <c r="J31" s="29">
        <v>0.08</v>
      </c>
      <c r="K31" s="11">
        <v>0.04</v>
      </c>
      <c r="L31" s="10">
        <v>0.04</v>
      </c>
      <c r="M31" s="10">
        <v>0.05</v>
      </c>
      <c r="N31" s="10">
        <v>0.06</v>
      </c>
      <c r="O31" s="10">
        <v>0.05</v>
      </c>
      <c r="P31" s="10">
        <v>7.0000000000000007E-2</v>
      </c>
      <c r="Q31" s="10">
        <v>0.08</v>
      </c>
      <c r="R31" s="29">
        <v>7.0000000000000007E-2</v>
      </c>
      <c r="S31" s="21">
        <v>0.08</v>
      </c>
      <c r="T31" s="11">
        <v>0.04</v>
      </c>
      <c r="U31" s="10">
        <v>0.04</v>
      </c>
      <c r="V31" s="10">
        <v>0.05</v>
      </c>
      <c r="W31" s="10">
        <v>0.06</v>
      </c>
      <c r="X31" s="10">
        <v>0.05</v>
      </c>
      <c r="Y31" s="10">
        <v>7.0000000000000007E-2</v>
      </c>
      <c r="Z31" s="10">
        <v>0.08</v>
      </c>
      <c r="AA31" s="29">
        <v>7.0000000000000007E-2</v>
      </c>
      <c r="AB31" s="21">
        <v>0.08</v>
      </c>
      <c r="AC31" s="11">
        <v>0.04</v>
      </c>
      <c r="AD31" s="10">
        <v>0.04</v>
      </c>
      <c r="AE31" s="10">
        <v>0.05</v>
      </c>
      <c r="AF31" s="10">
        <v>0.06</v>
      </c>
      <c r="AG31" s="7">
        <v>0.05</v>
      </c>
      <c r="AH31" s="7">
        <v>7.0000000000000007E-2</v>
      </c>
      <c r="AI31" s="7">
        <v>0.08</v>
      </c>
      <c r="AJ31" s="18">
        <v>7.0000000000000007E-2</v>
      </c>
      <c r="AK31" s="20">
        <v>0.08</v>
      </c>
      <c r="AL31" s="7"/>
      <c r="AM31" s="10">
        <v>0.05</v>
      </c>
      <c r="AN31" s="7">
        <v>7.0000000000000007E-2</v>
      </c>
      <c r="AP31" s="7">
        <v>7.0000000000000007E-2</v>
      </c>
      <c r="AQ31" s="7">
        <v>0.08</v>
      </c>
    </row>
    <row r="32" spans="1:43" x14ac:dyDescent="0.2">
      <c r="A32" s="2" t="s">
        <v>26</v>
      </c>
      <c r="B32" s="2">
        <v>0.01</v>
      </c>
      <c r="C32" s="10">
        <v>0.01</v>
      </c>
      <c r="D32" s="10">
        <v>0.01</v>
      </c>
      <c r="E32" s="10">
        <v>0</v>
      </c>
      <c r="F32" s="10">
        <v>0</v>
      </c>
      <c r="G32" s="10">
        <v>0</v>
      </c>
      <c r="H32" s="10">
        <v>0</v>
      </c>
      <c r="I32" s="29">
        <v>0</v>
      </c>
      <c r="J32" s="29">
        <v>0</v>
      </c>
      <c r="K32" s="11">
        <v>0.01</v>
      </c>
      <c r="L32" s="10">
        <v>0.01</v>
      </c>
      <c r="M32" s="10">
        <v>0.01</v>
      </c>
      <c r="N32" s="10">
        <v>0.01</v>
      </c>
      <c r="O32" s="10">
        <v>0.01</v>
      </c>
      <c r="P32" s="10">
        <v>0.01</v>
      </c>
      <c r="Q32" s="10">
        <v>0.01</v>
      </c>
      <c r="R32" s="29">
        <v>0.01</v>
      </c>
      <c r="S32" s="21">
        <v>0.01</v>
      </c>
      <c r="T32" s="11">
        <v>0.08</v>
      </c>
      <c r="U32" s="10">
        <v>0.05</v>
      </c>
      <c r="V32" s="10">
        <v>0.04</v>
      </c>
      <c r="W32" s="10">
        <v>0.04</v>
      </c>
      <c r="X32" s="10">
        <v>0.04</v>
      </c>
      <c r="Y32" s="10">
        <v>0.04</v>
      </c>
      <c r="Z32" s="10">
        <v>0.04</v>
      </c>
      <c r="AA32" s="29">
        <v>0.04</v>
      </c>
      <c r="AB32" s="21">
        <v>0.04</v>
      </c>
      <c r="AC32" s="11">
        <v>0.01</v>
      </c>
      <c r="AD32" s="10">
        <v>0.02</v>
      </c>
      <c r="AE32" s="10">
        <v>0.01</v>
      </c>
      <c r="AF32" s="10">
        <v>0.01</v>
      </c>
      <c r="AG32" s="7">
        <v>0.01</v>
      </c>
      <c r="AH32" s="7">
        <v>0.01</v>
      </c>
      <c r="AI32" s="7">
        <v>0.01</v>
      </c>
      <c r="AJ32" s="18">
        <v>0.01</v>
      </c>
      <c r="AK32" s="20">
        <v>0.01</v>
      </c>
      <c r="AL32" s="7"/>
      <c r="AM32" s="10">
        <v>0.02</v>
      </c>
      <c r="AN32" s="7">
        <v>0.01</v>
      </c>
      <c r="AP32" s="7">
        <v>0.01</v>
      </c>
      <c r="AQ32" s="7">
        <v>0.01</v>
      </c>
    </row>
    <row r="33" spans="1:43" x14ac:dyDescent="0.2">
      <c r="A33" s="2" t="s">
        <v>27</v>
      </c>
      <c r="B33" s="2">
        <v>0.01</v>
      </c>
      <c r="C33" s="10">
        <v>0.01</v>
      </c>
      <c r="D33" s="10">
        <v>0.01</v>
      </c>
      <c r="E33" s="10">
        <v>0.01</v>
      </c>
      <c r="F33" s="10">
        <v>0.01</v>
      </c>
      <c r="G33" s="10">
        <v>0.01</v>
      </c>
      <c r="H33" s="10">
        <v>0.01</v>
      </c>
      <c r="I33" s="29">
        <v>0</v>
      </c>
      <c r="J33" s="29">
        <v>0</v>
      </c>
      <c r="K33" s="11">
        <v>0.02</v>
      </c>
      <c r="L33" s="10">
        <v>0.02</v>
      </c>
      <c r="M33" s="10">
        <v>0.02</v>
      </c>
      <c r="N33" s="10">
        <v>0.02</v>
      </c>
      <c r="O33" s="10">
        <v>0.02</v>
      </c>
      <c r="P33" s="10">
        <v>0.02</v>
      </c>
      <c r="Q33" s="10">
        <v>0.02</v>
      </c>
      <c r="R33" s="29">
        <v>0</v>
      </c>
      <c r="S33" s="21">
        <v>0</v>
      </c>
      <c r="T33" s="11"/>
      <c r="U33" s="10"/>
      <c r="V33" s="10"/>
      <c r="W33" s="10"/>
      <c r="X33" s="10"/>
      <c r="Y33" s="10"/>
      <c r="Z33" s="10"/>
      <c r="AA33" s="29"/>
      <c r="AB33" s="21"/>
      <c r="AC33" s="11">
        <v>0.02</v>
      </c>
      <c r="AD33" s="10">
        <v>0.01</v>
      </c>
      <c r="AE33" s="10">
        <v>0.02</v>
      </c>
      <c r="AF33" s="10">
        <v>0.02</v>
      </c>
      <c r="AG33" s="7">
        <v>0.02</v>
      </c>
      <c r="AH33" s="7">
        <v>0.02</v>
      </c>
      <c r="AI33" s="7">
        <v>0.02</v>
      </c>
      <c r="AJ33" s="18">
        <v>0</v>
      </c>
      <c r="AK33" s="20">
        <v>0</v>
      </c>
      <c r="AL33" s="7"/>
      <c r="AM33" s="10">
        <v>0.04</v>
      </c>
      <c r="AN33" s="7">
        <v>0.04</v>
      </c>
      <c r="AP33" s="7">
        <v>0</v>
      </c>
      <c r="AQ33" s="7">
        <v>0</v>
      </c>
    </row>
    <row r="34" spans="1:43" x14ac:dyDescent="0.2">
      <c r="A34" s="2" t="s">
        <v>41</v>
      </c>
      <c r="B34" s="2">
        <v>0.01</v>
      </c>
      <c r="C34" s="10"/>
      <c r="D34" s="10"/>
      <c r="E34" s="10">
        <v>0.01</v>
      </c>
      <c r="F34" s="10">
        <v>0</v>
      </c>
      <c r="G34" s="10">
        <v>0</v>
      </c>
      <c r="H34" s="10">
        <v>0</v>
      </c>
      <c r="I34" s="29">
        <v>0</v>
      </c>
      <c r="J34" s="29">
        <v>0</v>
      </c>
      <c r="K34" s="11"/>
      <c r="L34" s="10"/>
      <c r="M34" s="10"/>
      <c r="N34" s="10"/>
      <c r="O34" s="10"/>
      <c r="P34" s="10"/>
      <c r="Q34" s="10"/>
      <c r="R34" s="29"/>
      <c r="S34" s="21"/>
      <c r="T34" s="11"/>
      <c r="U34" s="10"/>
      <c r="V34" s="10"/>
      <c r="W34" s="10"/>
      <c r="X34" s="10"/>
      <c r="Y34" s="10"/>
      <c r="Z34" s="10"/>
      <c r="AA34" s="29"/>
      <c r="AB34" s="21"/>
      <c r="AC34" s="11"/>
      <c r="AD34" s="10"/>
      <c r="AE34" s="10"/>
      <c r="AF34" s="10"/>
      <c r="AG34" s="7"/>
      <c r="AH34" s="7"/>
      <c r="AI34" s="7"/>
      <c r="AJ34" s="18"/>
      <c r="AK34" s="20"/>
      <c r="AL34" s="7"/>
      <c r="AM34" s="10"/>
      <c r="AN34" s="7"/>
    </row>
    <row r="35" spans="1:43" s="6" customFormat="1" x14ac:dyDescent="0.2">
      <c r="A35" s="6" t="s">
        <v>43</v>
      </c>
      <c r="B35" s="6">
        <v>0.28999999999999998</v>
      </c>
      <c r="C35" s="15">
        <v>0.81</v>
      </c>
      <c r="D35" s="15">
        <v>-0.76</v>
      </c>
      <c r="E35" s="15">
        <v>-0.19</v>
      </c>
      <c r="F35" s="15">
        <v>0.26</v>
      </c>
      <c r="G35" s="15">
        <v>-0.22</v>
      </c>
      <c r="H35" s="15">
        <v>0.83</v>
      </c>
      <c r="I35" s="31">
        <v>0.21</v>
      </c>
      <c r="J35" s="31">
        <v>0.94</v>
      </c>
      <c r="K35" s="16">
        <v>0.33</v>
      </c>
      <c r="L35" s="15">
        <v>0.79999999999999905</v>
      </c>
      <c r="M35" s="15">
        <v>-0.94</v>
      </c>
      <c r="N35" s="15">
        <v>-7.0000000000000007E-2</v>
      </c>
      <c r="O35" s="15">
        <v>-1.1000000000000001</v>
      </c>
      <c r="P35" s="15">
        <v>-0.31</v>
      </c>
      <c r="Q35" s="15">
        <v>0.08</v>
      </c>
      <c r="R35" s="31">
        <v>0.39</v>
      </c>
      <c r="S35" s="23">
        <v>0.24</v>
      </c>
      <c r="T35" s="16">
        <v>0.9</v>
      </c>
      <c r="U35" s="15">
        <v>0.3</v>
      </c>
      <c r="V35" s="15">
        <v>-0.34</v>
      </c>
      <c r="W35" s="15">
        <v>-1.28</v>
      </c>
      <c r="X35" s="15">
        <v>0.05</v>
      </c>
      <c r="Y35" s="15">
        <v>-0.6</v>
      </c>
      <c r="Z35" s="15">
        <v>-0.48</v>
      </c>
      <c r="AA35" s="31">
        <v>0</v>
      </c>
      <c r="AB35" s="23">
        <v>-0.54</v>
      </c>
      <c r="AC35" s="16">
        <v>0.89</v>
      </c>
      <c r="AD35" s="15">
        <v>0.47000000000000253</v>
      </c>
      <c r="AE35" s="17">
        <v>-2.93</v>
      </c>
      <c r="AF35" s="17">
        <v>-2.4500000000000002</v>
      </c>
      <c r="AG35" s="17">
        <v>-0.56000000000000005</v>
      </c>
      <c r="AH35" s="17">
        <v>-0.22</v>
      </c>
      <c r="AI35" s="17">
        <v>0.95</v>
      </c>
      <c r="AJ35" s="33">
        <v>0.26</v>
      </c>
      <c r="AK35" s="27">
        <v>0.08</v>
      </c>
      <c r="AL35" s="17"/>
      <c r="AM35" s="10">
        <v>-1.69</v>
      </c>
      <c r="AN35" s="17">
        <v>-2.19</v>
      </c>
      <c r="AO35" s="17"/>
      <c r="AP35" s="17">
        <v>-0.35</v>
      </c>
      <c r="AQ35" s="34">
        <v>-5</v>
      </c>
    </row>
    <row r="36" spans="1:43" x14ac:dyDescent="0.2">
      <c r="A36" s="2" t="s">
        <v>28</v>
      </c>
      <c r="B36" s="3">
        <f t="shared" ref="B36:AK36" si="2">SUM(B22:B35)</f>
        <v>3.2899999999999991</v>
      </c>
      <c r="C36" s="10">
        <f t="shared" si="2"/>
        <v>3.6999999999999993</v>
      </c>
      <c r="D36" s="10">
        <f t="shared" si="2"/>
        <v>2.089999999999999</v>
      </c>
      <c r="E36" s="10">
        <f t="shared" si="2"/>
        <v>2.4899999999999993</v>
      </c>
      <c r="F36" s="10">
        <f t="shared" si="2"/>
        <v>2.3599999999999994</v>
      </c>
      <c r="G36" s="10">
        <f t="shared" si="2"/>
        <v>1.8499999999999999</v>
      </c>
      <c r="H36" s="10">
        <f t="shared" si="2"/>
        <v>2.7900000000000005</v>
      </c>
      <c r="I36" s="29">
        <f t="shared" si="2"/>
        <v>2.6799999999999993</v>
      </c>
      <c r="J36" s="29">
        <f t="shared" si="2"/>
        <v>3.32</v>
      </c>
      <c r="K36" s="11">
        <f t="shared" si="2"/>
        <v>1.83</v>
      </c>
      <c r="L36" s="10">
        <f t="shared" si="2"/>
        <v>2.2099999999999991</v>
      </c>
      <c r="M36" s="10">
        <f t="shared" si="2"/>
        <v>0.37000000000000033</v>
      </c>
      <c r="N36" s="10">
        <f t="shared" si="2"/>
        <v>1.2</v>
      </c>
      <c r="O36" s="10">
        <f t="shared" si="2"/>
        <v>6.0000000000000053E-2</v>
      </c>
      <c r="P36" s="10">
        <f t="shared" si="2"/>
        <v>0.94000000000000017</v>
      </c>
      <c r="Q36" s="10">
        <f t="shared" si="2"/>
        <v>1.3800000000000003</v>
      </c>
      <c r="R36" s="29">
        <f t="shared" si="2"/>
        <v>1.54</v>
      </c>
      <c r="S36" s="21">
        <f t="shared" si="2"/>
        <v>1.37</v>
      </c>
      <c r="T36" s="11">
        <f t="shared" si="2"/>
        <v>1.62</v>
      </c>
      <c r="U36" s="10">
        <f t="shared" si="2"/>
        <v>0.97</v>
      </c>
      <c r="V36" s="10">
        <f t="shared" si="2"/>
        <v>0.35000000000000003</v>
      </c>
      <c r="W36" s="10">
        <f t="shared" si="2"/>
        <v>-0.57000000000000006</v>
      </c>
      <c r="X36" s="10">
        <f t="shared" si="2"/>
        <v>0.70000000000000007</v>
      </c>
      <c r="Y36" s="10">
        <f t="shared" si="2"/>
        <v>0.12</v>
      </c>
      <c r="Z36" s="10">
        <f t="shared" si="2"/>
        <v>0.29000000000000004</v>
      </c>
      <c r="AA36" s="29">
        <f t="shared" si="2"/>
        <v>0.78</v>
      </c>
      <c r="AB36" s="21">
        <f t="shared" si="2"/>
        <v>0.24</v>
      </c>
      <c r="AC36" s="11">
        <f t="shared" si="2"/>
        <v>1.4100000000000001</v>
      </c>
      <c r="AD36" s="10">
        <f t="shared" si="2"/>
        <v>1.0000000000000027</v>
      </c>
      <c r="AE36" s="10">
        <f t="shared" si="2"/>
        <v>-2.37</v>
      </c>
      <c r="AF36" s="10">
        <f t="shared" si="2"/>
        <v>-1.8800000000000001</v>
      </c>
      <c r="AG36" s="10">
        <f t="shared" si="2"/>
        <v>-4.0000000000000036E-2</v>
      </c>
      <c r="AH36" s="10">
        <f t="shared" si="2"/>
        <v>0.34000000000000008</v>
      </c>
      <c r="AI36" s="10">
        <f t="shared" si="2"/>
        <v>1.5699999999999998</v>
      </c>
      <c r="AJ36" s="29">
        <f t="shared" si="2"/>
        <v>0.8600000000000001</v>
      </c>
      <c r="AK36" s="21">
        <f t="shared" si="2"/>
        <v>0.69</v>
      </c>
      <c r="AL36" s="10"/>
      <c r="AM36" s="10">
        <f>SUM(AM22:AM35)</f>
        <v>5.0000000000000488E-2</v>
      </c>
      <c r="AN36" s="10">
        <f>SUM(AN22:AN35)</f>
        <v>-0.36999999999999966</v>
      </c>
      <c r="AP36" s="35">
        <f>SUM(AP22:AP35)</f>
        <v>1.25</v>
      </c>
      <c r="AQ36" s="7">
        <f>SUM(AQ22:AQ35)</f>
        <v>-3.42</v>
      </c>
    </row>
    <row r="37" spans="1:43" x14ac:dyDescent="0.2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18"/>
      <c r="S37" s="20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spans="1:43" x14ac:dyDescent="0.2">
      <c r="A38" s="6" t="s">
        <v>44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18"/>
      <c r="S38" s="18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spans="1:43" x14ac:dyDescent="0.2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18"/>
      <c r="S39" s="18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</row>
    <row r="40" spans="1:43" x14ac:dyDescent="0.2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18"/>
      <c r="S40" s="18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</row>
    <row r="41" spans="1:43" x14ac:dyDescent="0.2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18"/>
      <c r="S41" s="18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spans="1:43" x14ac:dyDescent="0.2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18"/>
      <c r="S42" s="18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1:43" x14ac:dyDescent="0.2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18"/>
      <c r="S43" s="18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spans="1:43" x14ac:dyDescent="0.2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18"/>
      <c r="S44" s="18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spans="1:43" x14ac:dyDescent="0.2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18"/>
      <c r="S45" s="18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</row>
    <row r="46" spans="1:43" x14ac:dyDescent="0.2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18"/>
      <c r="S46" s="18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</row>
    <row r="47" spans="1:43" x14ac:dyDescent="0.2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18"/>
      <c r="S47" s="18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</row>
    <row r="48" spans="1:43" x14ac:dyDescent="0.2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18"/>
      <c r="S48" s="18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</row>
    <row r="49" spans="3:40" x14ac:dyDescent="0.2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18"/>
      <c r="S49" s="18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</row>
    <row r="50" spans="3:40" x14ac:dyDescent="0.2">
      <c r="AM50" s="7"/>
    </row>
  </sheetData>
  <phoneticPr fontId="0" type="noConversion"/>
  <printOptions horizontalCentered="1" verticalCentered="1" gridLines="1"/>
  <pageMargins left="0.2" right="0.2" top="1" bottom="0.72" header="0.5" footer="0.5"/>
  <pageSetup scale="64" orientation="landscape" horizontalDpi="300" verticalDpi="300" r:id="rId1"/>
  <headerFooter alignWithMargins="0">
    <oddFooter>&amp;L&amp;8&amp;D,&amp;T&amp;COffice of Budgets and Planning&amp;R&amp;8&amp;Z&amp;F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workbookViewId="0">
      <selection activeCell="M2" sqref="M1:M1048576"/>
    </sheetView>
  </sheetViews>
  <sheetFormatPr defaultColWidth="9.140625" defaultRowHeight="11.25" x14ac:dyDescent="0.2"/>
  <cols>
    <col min="1" max="1" width="20.140625" style="2" customWidth="1"/>
    <col min="2" max="2" width="9.140625" style="2" customWidth="1"/>
    <col min="3" max="3" width="9.140625" style="25" customWidth="1"/>
    <col min="4" max="4" width="9.140625" style="94" customWidth="1"/>
    <col min="5" max="6" width="9.140625" style="2" customWidth="1"/>
    <col min="7" max="7" width="9.5703125" style="85" customWidth="1"/>
    <col min="8" max="10" width="9.140625" style="2" customWidth="1"/>
    <col min="11" max="12" width="9.140625" style="2"/>
    <col min="13" max="13" width="9.140625" style="85"/>
    <col min="14" max="16384" width="9.140625" style="2"/>
  </cols>
  <sheetData>
    <row r="1" spans="1:18" ht="22.5" customHeight="1" x14ac:dyDescent="0.25">
      <c r="A1" s="73" t="s">
        <v>31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5"/>
    </row>
    <row r="2" spans="1:18" x14ac:dyDescent="0.2">
      <c r="A2" s="36"/>
      <c r="B2" s="72" t="s">
        <v>52</v>
      </c>
      <c r="C2" s="60" t="s">
        <v>53</v>
      </c>
      <c r="D2" s="76" t="s">
        <v>54</v>
      </c>
      <c r="E2" s="60" t="s">
        <v>52</v>
      </c>
      <c r="F2" s="60" t="s">
        <v>53</v>
      </c>
      <c r="G2" s="76" t="s">
        <v>54</v>
      </c>
      <c r="H2" s="60" t="s">
        <v>52</v>
      </c>
      <c r="I2" s="60" t="s">
        <v>53</v>
      </c>
      <c r="J2" s="61" t="s">
        <v>54</v>
      </c>
      <c r="K2" s="60" t="s">
        <v>52</v>
      </c>
      <c r="L2" s="60" t="s">
        <v>53</v>
      </c>
      <c r="M2" s="76" t="s">
        <v>54</v>
      </c>
    </row>
    <row r="3" spans="1:18" x14ac:dyDescent="0.2">
      <c r="A3" s="36"/>
      <c r="B3" s="59" t="s">
        <v>0</v>
      </c>
      <c r="C3" s="54" t="s">
        <v>0</v>
      </c>
      <c r="D3" s="83" t="s">
        <v>0</v>
      </c>
      <c r="E3" s="62" t="s">
        <v>1</v>
      </c>
      <c r="F3" s="62" t="s">
        <v>1</v>
      </c>
      <c r="G3" s="77" t="s">
        <v>1</v>
      </c>
      <c r="H3" s="62" t="s">
        <v>2</v>
      </c>
      <c r="I3" s="62" t="s">
        <v>2</v>
      </c>
      <c r="J3" s="63" t="s">
        <v>2</v>
      </c>
      <c r="K3" s="54" t="s">
        <v>14</v>
      </c>
      <c r="L3" s="54" t="s">
        <v>14</v>
      </c>
      <c r="M3" s="83" t="s">
        <v>14</v>
      </c>
    </row>
    <row r="4" spans="1:18" x14ac:dyDescent="0.2">
      <c r="A4" s="37" t="s">
        <v>3</v>
      </c>
      <c r="B4" s="65">
        <v>7.3</v>
      </c>
      <c r="C4" s="65">
        <v>7.3300513161531731</v>
      </c>
      <c r="D4" s="86">
        <v>7.0085891279372161</v>
      </c>
      <c r="E4" s="50">
        <v>7.3098397821039089</v>
      </c>
      <c r="F4" s="50">
        <v>7.4</v>
      </c>
      <c r="G4" s="78">
        <v>7.3</v>
      </c>
      <c r="H4" s="50">
        <v>7.6450000000000005</v>
      </c>
      <c r="I4" s="50">
        <v>7.6450000000000005</v>
      </c>
      <c r="J4" s="45">
        <v>7.6449999999999987</v>
      </c>
      <c r="K4" s="50">
        <v>7.6450000000000014</v>
      </c>
      <c r="L4" s="50">
        <v>7.6450000000000005</v>
      </c>
      <c r="M4" s="78">
        <v>7.6450000000000005</v>
      </c>
      <c r="O4" s="71"/>
      <c r="P4" s="70"/>
      <c r="Q4" s="70"/>
      <c r="R4" s="70"/>
    </row>
    <row r="5" spans="1:18" x14ac:dyDescent="0.2">
      <c r="A5" s="37" t="s">
        <v>4</v>
      </c>
      <c r="B5" s="55">
        <v>8.1999999999999993</v>
      </c>
      <c r="C5" s="55">
        <v>8.9357782092669833</v>
      </c>
      <c r="D5" s="79">
        <v>8.1761455150105515</v>
      </c>
      <c r="E5" s="50">
        <v>15.805252915533696</v>
      </c>
      <c r="F5" s="50">
        <v>17.5</v>
      </c>
      <c r="G5" s="78">
        <v>16.354933943267707</v>
      </c>
      <c r="H5" s="50"/>
      <c r="I5" s="50"/>
      <c r="J5" s="45"/>
      <c r="K5" s="50">
        <v>11.744167822534118</v>
      </c>
      <c r="L5" s="50">
        <v>12.799196874762051</v>
      </c>
      <c r="M5" s="78">
        <v>12.116818128838775</v>
      </c>
      <c r="O5" s="71"/>
      <c r="P5" s="70"/>
      <c r="Q5" s="70"/>
      <c r="R5" s="70"/>
    </row>
    <row r="6" spans="1:18" x14ac:dyDescent="0.2">
      <c r="A6" s="37" t="s">
        <v>5</v>
      </c>
      <c r="B6" s="55">
        <v>0.1</v>
      </c>
      <c r="C6" s="55">
        <v>5.097368822416054E-2</v>
      </c>
      <c r="D6" s="79">
        <v>3.5682714329910957E-2</v>
      </c>
      <c r="E6" s="50">
        <v>0.12790722711249169</v>
      </c>
      <c r="F6" s="50">
        <v>9.9518950961753838E-2</v>
      </c>
      <c r="G6" s="78">
        <v>7.137696298467025E-2</v>
      </c>
      <c r="H6" s="50">
        <v>0.63747562087675036</v>
      </c>
      <c r="I6" s="50">
        <v>0.51546303620286338</v>
      </c>
      <c r="J6" s="45">
        <v>0.39441337711188196</v>
      </c>
      <c r="K6" s="50">
        <v>0.12467279284209278</v>
      </c>
      <c r="L6" s="50">
        <v>9.6146961175960777E-2</v>
      </c>
      <c r="M6" s="78">
        <v>6.9120747523207238E-2</v>
      </c>
      <c r="O6" s="71"/>
      <c r="P6" s="70"/>
      <c r="Q6" s="70"/>
      <c r="R6" s="70"/>
    </row>
    <row r="7" spans="1:18" x14ac:dyDescent="0.2">
      <c r="A7" s="37" t="s">
        <v>12</v>
      </c>
      <c r="B7" s="55">
        <v>0.7</v>
      </c>
      <c r="C7" s="55">
        <v>0.62030964299798486</v>
      </c>
      <c r="D7" s="79">
        <v>0.53591748341177692</v>
      </c>
      <c r="E7" s="50">
        <v>0.67972383422247828</v>
      </c>
      <c r="F7" s="50">
        <v>0.62030964299798497</v>
      </c>
      <c r="G7" s="78">
        <v>0.55779701166560913</v>
      </c>
      <c r="H7" s="50">
        <v>0.60380354433314243</v>
      </c>
      <c r="I7" s="50">
        <v>0.55862287912611963</v>
      </c>
      <c r="J7" s="45">
        <v>0.51267114247489265</v>
      </c>
      <c r="K7" s="50">
        <v>0.67972383422247851</v>
      </c>
      <c r="L7" s="50">
        <v>0.62030964299798474</v>
      </c>
      <c r="M7" s="78">
        <v>0.55779701166560913</v>
      </c>
      <c r="O7" s="71"/>
      <c r="P7" s="70"/>
      <c r="Q7" s="70"/>
      <c r="R7" s="70"/>
    </row>
    <row r="8" spans="1:18" x14ac:dyDescent="0.2">
      <c r="A8" s="37" t="s">
        <v>6</v>
      </c>
      <c r="B8" s="55">
        <v>0.2</v>
      </c>
      <c r="C8" s="55">
        <v>0.22702147848936574</v>
      </c>
      <c r="D8" s="79">
        <v>0.25506713841416839</v>
      </c>
      <c r="E8" s="50">
        <v>0.41774418690228643</v>
      </c>
      <c r="F8" s="50">
        <v>0.44005163080835336</v>
      </c>
      <c r="G8" s="78">
        <v>0.5049518574007591</v>
      </c>
      <c r="H8" s="50"/>
      <c r="I8" s="50"/>
      <c r="J8" s="45"/>
      <c r="K8" s="50">
        <v>0.45109481025340642</v>
      </c>
      <c r="L8" s="50">
        <v>0.46756641880355093</v>
      </c>
      <c r="M8" s="78">
        <v>0.536695946534124</v>
      </c>
      <c r="O8" s="71"/>
      <c r="P8" s="70"/>
      <c r="Q8" s="70"/>
      <c r="R8" s="70"/>
    </row>
    <row r="9" spans="1:18" x14ac:dyDescent="0.2">
      <c r="A9" s="37" t="s">
        <v>7</v>
      </c>
      <c r="B9" s="55">
        <v>0.1</v>
      </c>
      <c r="C9" s="55">
        <v>0.11823369317632258</v>
      </c>
      <c r="D9" s="79">
        <v>9.6126263686581573E-2</v>
      </c>
      <c r="E9" s="50">
        <v>0.13353662722091009</v>
      </c>
      <c r="F9" s="50">
        <v>0.11823369317632258</v>
      </c>
      <c r="G9" s="78">
        <v>0.10005074341968606</v>
      </c>
      <c r="H9" s="50"/>
      <c r="I9" s="50"/>
      <c r="J9" s="45"/>
      <c r="K9" s="50">
        <v>0.13353662722091006</v>
      </c>
      <c r="L9" s="50">
        <v>0.11823369317632258</v>
      </c>
      <c r="M9" s="78">
        <v>0.10005074341968606</v>
      </c>
      <c r="O9" s="71"/>
      <c r="P9" s="70"/>
      <c r="Q9" s="70"/>
      <c r="R9" s="70"/>
    </row>
    <row r="10" spans="1:18" x14ac:dyDescent="0.2">
      <c r="A10" s="37" t="s">
        <v>8</v>
      </c>
      <c r="B10" s="55">
        <v>7.5</v>
      </c>
      <c r="C10" s="55">
        <v>7.4563509391485994</v>
      </c>
      <c r="D10" s="79">
        <v>7.5599796370780874</v>
      </c>
      <c r="E10" s="50">
        <v>5.4898640303840933</v>
      </c>
      <c r="F10" s="50">
        <v>5.1805989050092904</v>
      </c>
      <c r="G10" s="78">
        <v>5.2340164081985039</v>
      </c>
      <c r="H10" s="50"/>
      <c r="I10" s="50"/>
      <c r="J10" s="45"/>
      <c r="K10" s="50"/>
      <c r="L10" s="50"/>
      <c r="M10" s="78"/>
      <c r="O10" s="71"/>
      <c r="P10" s="70"/>
      <c r="Q10" s="70"/>
      <c r="R10" s="70"/>
    </row>
    <row r="11" spans="1:18" x14ac:dyDescent="0.2">
      <c r="A11" s="37" t="s">
        <v>9</v>
      </c>
      <c r="B11" s="55">
        <v>1.1000000000000001</v>
      </c>
      <c r="C11" s="55">
        <v>0.93330372784204452</v>
      </c>
      <c r="D11" s="79">
        <v>0.40110949843926252</v>
      </c>
      <c r="E11" s="50">
        <v>1.1000000000000001</v>
      </c>
      <c r="F11" s="50">
        <v>0.88263139261804624</v>
      </c>
      <c r="G11" s="78">
        <v>1.1399674260950072</v>
      </c>
      <c r="H11" s="50">
        <v>1.0346216651028428</v>
      </c>
      <c r="I11" s="50">
        <v>0.96040792792243634</v>
      </c>
      <c r="J11" s="45">
        <v>0.51251052305545963</v>
      </c>
      <c r="K11" s="50">
        <v>1.7240341486949651</v>
      </c>
      <c r="L11" s="50">
        <v>1.4986257700147438</v>
      </c>
      <c r="M11" s="78">
        <v>1.730363484739514</v>
      </c>
      <c r="O11" s="71"/>
      <c r="P11" s="70"/>
      <c r="Q11" s="70"/>
      <c r="R11" s="70"/>
    </row>
    <row r="12" spans="1:18" x14ac:dyDescent="0.2">
      <c r="A12" s="37" t="s">
        <v>10</v>
      </c>
      <c r="B12" s="55">
        <v>0.9</v>
      </c>
      <c r="C12" s="55">
        <v>0.88562174675424021</v>
      </c>
      <c r="D12" s="79">
        <v>0.72169858135791665</v>
      </c>
      <c r="E12" s="50">
        <v>1.6409865058152584</v>
      </c>
      <c r="F12" s="50">
        <v>1.7290517962583523</v>
      </c>
      <c r="G12" s="78">
        <v>1.4436304495057057</v>
      </c>
      <c r="H12" s="50"/>
      <c r="I12" s="50"/>
      <c r="J12" s="45"/>
      <c r="K12" s="50">
        <v>1.3570282993199736</v>
      </c>
      <c r="L12" s="50">
        <v>1.4553841875927349</v>
      </c>
      <c r="M12" s="78">
        <v>1.1861402303476554</v>
      </c>
      <c r="O12" s="71"/>
      <c r="P12" s="70"/>
      <c r="Q12" s="70"/>
      <c r="R12" s="70"/>
    </row>
    <row r="13" spans="1:18" x14ac:dyDescent="0.2">
      <c r="A13" s="37" t="s">
        <v>11</v>
      </c>
      <c r="B13" s="55">
        <v>0.9</v>
      </c>
      <c r="C13" s="55">
        <v>1.7737724088533167</v>
      </c>
      <c r="D13" s="79">
        <v>4.5</v>
      </c>
      <c r="E13" s="50">
        <v>-0.63763079509302045</v>
      </c>
      <c r="F13" s="50">
        <v>0.64349580660861905</v>
      </c>
      <c r="G13" s="79">
        <v>1.9291051387191414</v>
      </c>
      <c r="H13" s="50">
        <v>0.2</v>
      </c>
      <c r="I13" s="50">
        <v>-1.6735734601688423E-2</v>
      </c>
      <c r="J13" s="64">
        <v>0.37564697964723043</v>
      </c>
      <c r="K13" s="50">
        <v>-1.6275841209378967</v>
      </c>
      <c r="L13" s="50">
        <v>-0.66930481914077211</v>
      </c>
      <c r="M13" s="79">
        <v>-1.6073444702397834</v>
      </c>
      <c r="O13" s="71"/>
      <c r="P13" s="70"/>
      <c r="Q13" s="70"/>
      <c r="R13" s="70"/>
    </row>
    <row r="14" spans="1:18" x14ac:dyDescent="0.2">
      <c r="A14" s="37"/>
      <c r="B14" s="56"/>
      <c r="C14" s="56"/>
      <c r="D14" s="87"/>
      <c r="E14" s="42"/>
      <c r="F14" s="51"/>
      <c r="G14" s="80"/>
      <c r="H14" s="42"/>
      <c r="I14" s="51"/>
      <c r="J14" s="46"/>
      <c r="K14" s="49"/>
      <c r="L14" s="49"/>
      <c r="M14" s="80"/>
    </row>
    <row r="15" spans="1:18" x14ac:dyDescent="0.2">
      <c r="A15" s="66" t="s">
        <v>13</v>
      </c>
      <c r="B15" s="67">
        <f>SUM(B4:B13)</f>
        <v>27</v>
      </c>
      <c r="C15" s="67">
        <f t="shared" ref="C15:I15" si="0">SUM(C4:C13)</f>
        <v>28.331416850906187</v>
      </c>
      <c r="D15" s="88">
        <f t="shared" ref="D15" si="1">SUM(D4:D13)</f>
        <v>29.29031595966547</v>
      </c>
      <c r="E15" s="68">
        <v>32</v>
      </c>
      <c r="F15" s="68">
        <v>34.5</v>
      </c>
      <c r="G15" s="81">
        <v>34.6</v>
      </c>
      <c r="H15" s="68">
        <v>10.1</v>
      </c>
      <c r="I15" s="68">
        <f t="shared" si="0"/>
        <v>9.6627581086497294</v>
      </c>
      <c r="J15" s="69">
        <f t="shared" ref="J15" si="2">SUM(J4:J13)</f>
        <v>9.4402420222894641</v>
      </c>
      <c r="K15" s="68">
        <f t="shared" ref="K15:M15" si="3">SUM(K4:K13)</f>
        <v>22.231674214150051</v>
      </c>
      <c r="L15" s="68">
        <f t="shared" si="3"/>
        <v>24.031158729382575</v>
      </c>
      <c r="M15" s="81">
        <f t="shared" si="3"/>
        <v>22.334641822828786</v>
      </c>
    </row>
    <row r="16" spans="1:18" x14ac:dyDescent="0.2">
      <c r="A16" s="37"/>
      <c r="B16" s="57"/>
      <c r="C16" s="57"/>
      <c r="D16" s="79"/>
      <c r="E16" s="41"/>
      <c r="F16" s="50"/>
      <c r="G16" s="78"/>
      <c r="H16" s="41"/>
      <c r="I16" s="50"/>
      <c r="J16" s="45"/>
      <c r="K16" s="52"/>
      <c r="L16" s="52"/>
      <c r="M16" s="78"/>
    </row>
    <row r="17" spans="1:13" x14ac:dyDescent="0.2">
      <c r="A17" s="38" t="s">
        <v>15</v>
      </c>
      <c r="B17" s="57"/>
      <c r="C17" s="57"/>
      <c r="D17" s="79"/>
      <c r="E17" s="41"/>
      <c r="F17" s="50"/>
      <c r="G17" s="78"/>
      <c r="H17" s="41"/>
      <c r="I17" s="50"/>
      <c r="J17" s="45"/>
      <c r="K17" s="52"/>
      <c r="L17" s="52"/>
      <c r="M17" s="78"/>
    </row>
    <row r="18" spans="1:13" x14ac:dyDescent="0.2">
      <c r="A18" s="37" t="s">
        <v>16</v>
      </c>
      <c r="B18" s="55">
        <v>0.24096784764804097</v>
      </c>
      <c r="C18" s="55">
        <v>0.22927333227113103</v>
      </c>
      <c r="D18" s="79">
        <v>0.22921307672427899</v>
      </c>
      <c r="E18" s="50">
        <v>0.24096784764804097</v>
      </c>
      <c r="F18" s="50">
        <v>0.22927333227113103</v>
      </c>
      <c r="G18" s="78">
        <v>0.23857099868720794</v>
      </c>
      <c r="H18" s="50">
        <v>0.24096784764804097</v>
      </c>
      <c r="I18" s="50">
        <v>0.22927333227113103</v>
      </c>
      <c r="J18" s="45">
        <v>0.23857099868720791</v>
      </c>
      <c r="K18" s="50">
        <v>0.24096784764804097</v>
      </c>
      <c r="L18" s="50">
        <v>0.22927333227113106</v>
      </c>
      <c r="M18" s="78">
        <v>0.23857099868720799</v>
      </c>
    </row>
    <row r="19" spans="1:13" x14ac:dyDescent="0.2">
      <c r="A19" s="37" t="s">
        <v>17</v>
      </c>
      <c r="B19" s="55">
        <v>8.489494080424138E-3</v>
      </c>
      <c r="C19" s="55">
        <v>8.1802407536651703E-3</v>
      </c>
      <c r="D19" s="79">
        <v>6.4014766369008113E-3</v>
      </c>
      <c r="E19" s="50">
        <v>4.182523045965772E-2</v>
      </c>
      <c r="F19" s="50">
        <v>3.9850355447561284E-2</v>
      </c>
      <c r="G19" s="78">
        <v>3.1810659927188366E-2</v>
      </c>
      <c r="H19" s="50"/>
      <c r="I19" s="50"/>
      <c r="J19" s="45"/>
      <c r="K19" s="50"/>
      <c r="L19" s="50"/>
      <c r="M19" s="78"/>
    </row>
    <row r="20" spans="1:13" x14ac:dyDescent="0.2">
      <c r="A20" s="37" t="s">
        <v>18</v>
      </c>
      <c r="B20" s="55">
        <v>0.12777528405369898</v>
      </c>
      <c r="C20" s="55">
        <v>0.13664011300415893</v>
      </c>
      <c r="D20" s="89">
        <v>0.1059570492672068</v>
      </c>
      <c r="E20" s="55">
        <v>0.7</v>
      </c>
      <c r="F20" s="50">
        <v>0.66564753233833174</v>
      </c>
      <c r="G20" s="78">
        <v>0.52652908888210381</v>
      </c>
      <c r="H20" s="50"/>
      <c r="I20" s="50"/>
      <c r="J20" s="45"/>
      <c r="K20" s="50"/>
      <c r="L20" s="50"/>
      <c r="M20" s="78"/>
    </row>
    <row r="21" spans="1:13" x14ac:dyDescent="0.2">
      <c r="A21" s="37" t="s">
        <v>19</v>
      </c>
      <c r="B21" s="55">
        <v>7.1237617277975424E-2</v>
      </c>
      <c r="C21" s="55">
        <v>6.7220812974237057E-2</v>
      </c>
      <c r="D21" s="79">
        <v>6.1402961097668116E-2</v>
      </c>
      <c r="E21" s="50">
        <v>7.1237617277975424E-2</v>
      </c>
      <c r="F21" s="50">
        <v>6.7220812974237043E-2</v>
      </c>
      <c r="G21" s="78">
        <v>6.3909816842796174E-2</v>
      </c>
      <c r="H21" s="50">
        <v>7.1237617277975424E-2</v>
      </c>
      <c r="I21" s="50">
        <v>6.7220812974237057E-2</v>
      </c>
      <c r="J21" s="45">
        <v>6.3909816842796174E-2</v>
      </c>
      <c r="K21" s="50">
        <v>7.1237617277975424E-2</v>
      </c>
      <c r="L21" s="50">
        <v>6.7220812974237057E-2</v>
      </c>
      <c r="M21" s="78">
        <v>6.3909816842796174E-2</v>
      </c>
    </row>
    <row r="22" spans="1:13" x14ac:dyDescent="0.2">
      <c r="A22" s="37" t="s">
        <v>20</v>
      </c>
      <c r="B22" s="55">
        <v>8.4134098797162236E-3</v>
      </c>
      <c r="C22" s="55">
        <v>7.7801532441830277E-3</v>
      </c>
      <c r="D22" s="79">
        <v>1.6446519861799257E-3</v>
      </c>
      <c r="E22" s="50">
        <v>1.6237589253781576E-2</v>
      </c>
      <c r="F22" s="50">
        <v>1.5189654038331687E-2</v>
      </c>
      <c r="G22" s="78">
        <v>3.2898356009264367E-3</v>
      </c>
      <c r="H22" s="50">
        <v>8.0926367686733724E-2</v>
      </c>
      <c r="I22" s="50">
        <v>7.8675519725670884E-2</v>
      </c>
      <c r="J22" s="45">
        <v>1.8178906964463754E-2</v>
      </c>
      <c r="K22" s="50">
        <v>1.5826983720875272E-2</v>
      </c>
      <c r="L22" s="50">
        <v>1.4674984643487796E-2</v>
      </c>
      <c r="M22" s="78">
        <v>3.1858443740921455E-3</v>
      </c>
    </row>
    <row r="23" spans="1:13" x14ac:dyDescent="0.2">
      <c r="A23" s="37" t="s">
        <v>21</v>
      </c>
      <c r="B23" s="55">
        <v>1.2915626899753121</v>
      </c>
      <c r="C23" s="55">
        <v>1.3317221711004692</v>
      </c>
      <c r="D23" s="79">
        <v>1.0180935549861168</v>
      </c>
      <c r="E23" s="50"/>
      <c r="F23" s="50"/>
      <c r="G23" s="78"/>
      <c r="H23" s="50"/>
      <c r="I23" s="50"/>
      <c r="J23" s="45"/>
      <c r="K23" s="50"/>
      <c r="L23" s="50"/>
      <c r="M23" s="78"/>
    </row>
    <row r="24" spans="1:13" x14ac:dyDescent="0.2">
      <c r="A24" s="37" t="s">
        <v>22</v>
      </c>
      <c r="B24" s="55">
        <v>5.4105154089691652E-2</v>
      </c>
      <c r="C24" s="55">
        <v>0.1</v>
      </c>
      <c r="D24" s="79">
        <v>0.1</v>
      </c>
      <c r="E24" s="50">
        <v>5.4105154089691666E-2</v>
      </c>
      <c r="F24" s="50">
        <v>4.9896284605679235E-2</v>
      </c>
      <c r="G24" s="78">
        <v>4.7791221047340779E-2</v>
      </c>
      <c r="H24" s="50">
        <v>5.4105154089691652E-2</v>
      </c>
      <c r="I24" s="50">
        <v>4.9896284605679235E-2</v>
      </c>
      <c r="J24" s="45">
        <v>0.1</v>
      </c>
      <c r="K24" s="50">
        <v>5.4105154089691666E-2</v>
      </c>
      <c r="L24" s="50">
        <v>4.9896284605679235E-2</v>
      </c>
      <c r="M24" s="78">
        <v>4.7791221047340772E-2</v>
      </c>
    </row>
    <row r="25" spans="1:13" x14ac:dyDescent="0.2">
      <c r="A25" s="37" t="s">
        <v>23</v>
      </c>
      <c r="B25" s="55">
        <v>0.14871295285745603</v>
      </c>
      <c r="C25" s="55">
        <v>0.15716355190311609</v>
      </c>
      <c r="D25" s="79">
        <v>0.14366318942990189</v>
      </c>
      <c r="E25" s="50">
        <v>0.2</v>
      </c>
      <c r="F25" s="50">
        <v>0.15716355190311609</v>
      </c>
      <c r="G25" s="78">
        <v>0.2</v>
      </c>
      <c r="H25" s="50">
        <v>0.2</v>
      </c>
      <c r="I25" s="50">
        <v>0.15716355190311609</v>
      </c>
      <c r="J25" s="45">
        <v>0.2</v>
      </c>
      <c r="K25" s="50">
        <v>0.2</v>
      </c>
      <c r="L25" s="50">
        <v>0.15716355190311607</v>
      </c>
      <c r="M25" s="78">
        <v>0.2</v>
      </c>
    </row>
    <row r="26" spans="1:13" x14ac:dyDescent="0.2">
      <c r="A26" s="37" t="s">
        <v>24</v>
      </c>
      <c r="B26" s="55">
        <v>1.1003325591101502E-2</v>
      </c>
      <c r="C26" s="55">
        <v>1.0560689515752199E-2</v>
      </c>
      <c r="D26" s="79">
        <v>9.8750841426598658E-3</v>
      </c>
      <c r="E26" s="50">
        <v>2.1236036747083555E-2</v>
      </c>
      <c r="F26" s="50">
        <v>2.0618259707216955E-2</v>
      </c>
      <c r="G26" s="78">
        <v>1.9753360375118538E-2</v>
      </c>
      <c r="H26" s="50">
        <v>0.10583808292867353</v>
      </c>
      <c r="I26" s="50">
        <v>0.10679323533048138</v>
      </c>
      <c r="J26" s="45">
        <v>0.10915271887558199</v>
      </c>
      <c r="K26" s="50">
        <v>2.0699033744416555E-2</v>
      </c>
      <c r="L26" s="50">
        <v>1.9919653457234648E-2</v>
      </c>
      <c r="M26" s="78">
        <v>1.9128959514805033E-2</v>
      </c>
    </row>
    <row r="27" spans="1:13" x14ac:dyDescent="0.2">
      <c r="A27" s="37" t="s">
        <v>25</v>
      </c>
      <c r="B27" s="55">
        <v>0.11868538981741196</v>
      </c>
      <c r="C27" s="55">
        <v>0.11252566692666864</v>
      </c>
      <c r="D27" s="79">
        <v>8.3932000579817312E-2</v>
      </c>
      <c r="E27" s="50">
        <v>0.11868538981741196</v>
      </c>
      <c r="F27" s="50">
        <v>0.11252566692666861</v>
      </c>
      <c r="G27" s="78">
        <v>8.7358633662201313E-2</v>
      </c>
      <c r="H27" s="50">
        <v>0.11868538981741196</v>
      </c>
      <c r="I27" s="50">
        <v>0.11252566692666861</v>
      </c>
      <c r="J27" s="45">
        <v>8.7358633662201299E-2</v>
      </c>
      <c r="K27" s="50">
        <v>0.11868538981741197</v>
      </c>
      <c r="L27" s="50">
        <v>0.11252566692666861</v>
      </c>
      <c r="M27" s="78">
        <v>8.7358633662201313E-2</v>
      </c>
    </row>
    <row r="28" spans="1:13" x14ac:dyDescent="0.2">
      <c r="A28" s="37" t="s">
        <v>26</v>
      </c>
      <c r="B28" s="55">
        <v>2.6289255747525744E-3</v>
      </c>
      <c r="C28" s="55">
        <v>2.3918422935952253E-3</v>
      </c>
      <c r="D28" s="79">
        <v>2.1409628597946571E-3</v>
      </c>
      <c r="E28" s="50">
        <v>5.07373517656717E-3</v>
      </c>
      <c r="F28" s="50">
        <v>4.6697353912822951E-3</v>
      </c>
      <c r="G28" s="78">
        <v>4.2826177790802151E-3</v>
      </c>
      <c r="H28" s="50">
        <v>2.5286940815328545E-2</v>
      </c>
      <c r="I28" s="50">
        <v>2.4187111698749743E-2</v>
      </c>
      <c r="J28" s="45">
        <v>2.366480262671292E-2</v>
      </c>
      <c r="K28" s="50">
        <v>4.9454338811322782E-3</v>
      </c>
      <c r="L28" s="50">
        <v>4.5115112551796979E-3</v>
      </c>
      <c r="M28" s="78">
        <v>4.1472448513924344E-3</v>
      </c>
    </row>
    <row r="29" spans="1:13" x14ac:dyDescent="0.2">
      <c r="A29" s="37" t="s">
        <v>41</v>
      </c>
      <c r="B29" s="55">
        <v>1.1134161120476826E-3</v>
      </c>
      <c r="C29" s="55">
        <v>1.0244016700772839E-3</v>
      </c>
      <c r="D29" s="79">
        <v>7.4043167635353942E-4</v>
      </c>
      <c r="E29" s="50"/>
      <c r="F29" s="50"/>
      <c r="G29" s="78"/>
      <c r="H29" s="50"/>
      <c r="I29" s="50"/>
      <c r="J29" s="45"/>
      <c r="K29" s="50"/>
      <c r="L29" s="50"/>
      <c r="M29" s="78"/>
    </row>
    <row r="30" spans="1:13" s="6" customFormat="1" x14ac:dyDescent="0.2">
      <c r="A30" s="39" t="s">
        <v>43</v>
      </c>
      <c r="B30" s="58">
        <v>-1.0637407315934277</v>
      </c>
      <c r="C30" s="58">
        <v>-0.34060685140941593</v>
      </c>
      <c r="D30" s="90">
        <v>2.8448846711764584</v>
      </c>
      <c r="E30" s="53">
        <v>-1.9852234420107524</v>
      </c>
      <c r="F30" s="53">
        <v>-0.7185593789949366</v>
      </c>
      <c r="G30" s="82">
        <v>0.75628047993401382</v>
      </c>
      <c r="H30" s="53">
        <v>-0.69237870643851784</v>
      </c>
      <c r="I30" s="53">
        <v>-0.84247125003742251</v>
      </c>
      <c r="J30" s="47">
        <v>-0.36250854504023838</v>
      </c>
      <c r="K30" s="53">
        <v>-2.302764533974897</v>
      </c>
      <c r="L30" s="53">
        <v>-1.3244906171775064</v>
      </c>
      <c r="M30" s="82">
        <v>-2.2209656152007833</v>
      </c>
    </row>
    <row r="31" spans="1:13" x14ac:dyDescent="0.2">
      <c r="A31" s="40" t="s">
        <v>28</v>
      </c>
      <c r="B31" s="59">
        <v>0.9</v>
      </c>
      <c r="C31" s="59">
        <v>1.8</v>
      </c>
      <c r="D31" s="91">
        <v>4.5</v>
      </c>
      <c r="E31" s="54">
        <v>-0.6</v>
      </c>
      <c r="F31" s="54">
        <f t="shared" ref="F31:K31" si="4">SUM(F18:F30)</f>
        <v>0.64349580660861905</v>
      </c>
      <c r="G31" s="83">
        <v>1.9</v>
      </c>
      <c r="H31" s="43">
        <v>0.2</v>
      </c>
      <c r="I31" s="54">
        <f t="shared" si="4"/>
        <v>-1.6735734601688423E-2</v>
      </c>
      <c r="J31" s="48">
        <v>0.4</v>
      </c>
      <c r="K31" s="54">
        <f t="shared" si="4"/>
        <v>-1.5762970737953528</v>
      </c>
      <c r="L31" s="54">
        <f>SUM(L18:L30)</f>
        <v>-0.66930481914077211</v>
      </c>
      <c r="M31" s="83">
        <f>SUM(M18:M30)</f>
        <v>-1.5568728962209475</v>
      </c>
    </row>
    <row r="32" spans="1:13" x14ac:dyDescent="0.2">
      <c r="B32" s="7"/>
      <c r="C32" s="18"/>
      <c r="D32" s="92"/>
      <c r="E32" s="7"/>
      <c r="F32" s="7"/>
      <c r="G32" s="84"/>
      <c r="H32" s="7"/>
      <c r="I32" s="7"/>
      <c r="J32" s="7"/>
    </row>
    <row r="33" spans="1:13" x14ac:dyDescent="0.2">
      <c r="A33" s="6"/>
      <c r="B33" s="7"/>
      <c r="C33" s="44"/>
      <c r="D33" s="93"/>
      <c r="E33" s="7"/>
      <c r="F33" s="7"/>
      <c r="G33" s="84"/>
      <c r="H33" s="7"/>
      <c r="I33" s="7"/>
      <c r="J33" s="7"/>
    </row>
    <row r="34" spans="1:13" x14ac:dyDescent="0.2">
      <c r="B34" s="7"/>
      <c r="C34" s="18"/>
      <c r="D34" s="92"/>
      <c r="E34" s="7"/>
      <c r="F34" s="7"/>
      <c r="G34" s="84"/>
      <c r="H34" s="7"/>
      <c r="I34" s="7"/>
      <c r="J34" s="7"/>
    </row>
    <row r="35" spans="1:13" x14ac:dyDescent="0.2">
      <c r="B35" s="7"/>
      <c r="C35" s="18"/>
      <c r="D35" s="92"/>
      <c r="E35" s="7"/>
      <c r="F35" s="7"/>
      <c r="G35" s="84"/>
      <c r="H35" s="7"/>
      <c r="I35" s="7"/>
      <c r="J35" s="7"/>
    </row>
    <row r="36" spans="1:13" x14ac:dyDescent="0.2">
      <c r="B36" s="7"/>
      <c r="C36" s="18"/>
      <c r="D36" s="92"/>
      <c r="E36" s="7"/>
      <c r="F36" s="7"/>
      <c r="G36" s="84"/>
      <c r="H36" s="7"/>
      <c r="I36" s="7"/>
      <c r="J36" s="7"/>
    </row>
    <row r="37" spans="1:13" x14ac:dyDescent="0.2">
      <c r="B37" s="7"/>
      <c r="C37" s="18"/>
      <c r="D37" s="92"/>
      <c r="E37" s="7"/>
      <c r="F37" s="7"/>
      <c r="G37" s="84"/>
      <c r="H37" s="7"/>
      <c r="I37" s="7"/>
      <c r="J37" s="7"/>
    </row>
    <row r="38" spans="1:13" x14ac:dyDescent="0.2">
      <c r="B38" s="7"/>
      <c r="C38" s="18"/>
      <c r="D38" s="92"/>
      <c r="E38" s="7"/>
      <c r="F38" s="7"/>
      <c r="G38" s="84"/>
      <c r="H38" s="7"/>
      <c r="I38" s="7"/>
      <c r="J38" s="7"/>
    </row>
    <row r="39" spans="1:13" x14ac:dyDescent="0.2">
      <c r="B39" s="7"/>
      <c r="C39" s="18"/>
      <c r="D39" s="92"/>
      <c r="E39" s="7"/>
      <c r="F39" s="7"/>
      <c r="G39" s="84"/>
      <c r="H39" s="7"/>
      <c r="I39" s="7"/>
      <c r="J39" s="7"/>
    </row>
    <row r="40" spans="1:13" x14ac:dyDescent="0.2">
      <c r="B40" s="7"/>
      <c r="C40" s="18"/>
      <c r="D40" s="92"/>
      <c r="E40" s="7"/>
      <c r="F40" s="7"/>
      <c r="G40" s="84"/>
      <c r="H40" s="7"/>
      <c r="I40" s="7"/>
      <c r="J40" s="7"/>
    </row>
    <row r="41" spans="1:13" x14ac:dyDescent="0.2">
      <c r="B41" s="7"/>
      <c r="C41" s="18"/>
      <c r="D41" s="92"/>
      <c r="E41" s="7"/>
      <c r="F41" s="7"/>
      <c r="G41" s="84"/>
      <c r="H41" s="7"/>
      <c r="I41" s="7"/>
      <c r="J41" s="7"/>
    </row>
    <row r="42" spans="1:13" x14ac:dyDescent="0.2">
      <c r="B42" s="7"/>
      <c r="C42" s="18"/>
      <c r="D42" s="92"/>
      <c r="E42" s="7"/>
      <c r="F42" s="7"/>
      <c r="G42" s="84"/>
      <c r="H42" s="7"/>
      <c r="I42" s="7"/>
      <c r="J42" s="7"/>
    </row>
    <row r="43" spans="1:13" x14ac:dyDescent="0.2">
      <c r="B43" s="7"/>
      <c r="C43" s="18"/>
      <c r="D43" s="92"/>
      <c r="E43" s="7"/>
      <c r="F43" s="7"/>
      <c r="G43" s="84"/>
      <c r="H43" s="7"/>
      <c r="I43" s="7"/>
      <c r="J43" s="7"/>
    </row>
    <row r="44" spans="1:13" s="7" customFormat="1" x14ac:dyDescent="0.2">
      <c r="A44" s="2"/>
      <c r="C44" s="18"/>
      <c r="D44" s="92"/>
      <c r="G44" s="84"/>
      <c r="K44" s="2"/>
      <c r="M44" s="84"/>
    </row>
    <row r="45" spans="1:13" s="7" customFormat="1" x14ac:dyDescent="0.2">
      <c r="A45" s="2"/>
      <c r="B45" s="2"/>
      <c r="C45" s="25"/>
      <c r="D45" s="94"/>
      <c r="E45" s="2"/>
      <c r="F45" s="2"/>
      <c r="G45" s="85"/>
      <c r="H45" s="2"/>
      <c r="I45" s="2"/>
      <c r="J45" s="2"/>
      <c r="K45" s="2"/>
      <c r="M45" s="84"/>
    </row>
  </sheetData>
  <mergeCells count="1">
    <mergeCell ref="A1:M1"/>
  </mergeCells>
  <printOptions horizontalCentered="1" verticalCentered="1" gridLines="1"/>
  <pageMargins left="0.2" right="0.2" top="1" bottom="0.72" header="0.5" footer="0.5"/>
  <pageSetup orientation="landscape" horizontalDpi="300" verticalDpi="300" r:id="rId1"/>
  <headerFooter alignWithMargins="0">
    <oddFooter>&amp;L&amp;8&amp;D,&amp;T&amp;COffice of Budgets and Planning&amp;R&amp;8&amp;F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Components</vt:lpstr>
      <vt:lpstr>Sheet3</vt:lpstr>
      <vt:lpstr>Components </vt:lpstr>
    </vt:vector>
  </TitlesOfParts>
  <Company>University of Rochester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</dc:creator>
  <cp:lastModifiedBy>Terry Messenger</cp:lastModifiedBy>
  <cp:lastPrinted>2016-03-21T13:53:30Z</cp:lastPrinted>
  <dcterms:created xsi:type="dcterms:W3CDTF">2002-08-12T19:35:09Z</dcterms:created>
  <dcterms:modified xsi:type="dcterms:W3CDTF">2018-07-17T16:13:00Z</dcterms:modified>
</cp:coreProperties>
</file>